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60" tabRatio="879" firstSheet="1" activeTab="1"/>
  </bookViews>
  <sheets>
    <sheet name="graficas dic2017 niif" sheetId="1" state="hidden" r:id="rId1"/>
    <sheet name="Estado de Situación Financiera" sheetId="2" r:id="rId2"/>
    <sheet name="Estado integral de resultados" sheetId="3" r:id="rId3"/>
    <sheet name="Estado de Cambios en Patrimonio" sheetId="4" r:id="rId4"/>
    <sheet name="Estado Flujos Efectivo" sheetId="5" r:id="rId5"/>
    <sheet name="Anexo Flujo Efectivo" sheetId="6" state="hidden" r:id="rId6"/>
    <sheet name="Indicadores financieros" sheetId="7" state="hidden" r:id="rId7"/>
    <sheet name="Proyecto distribución de excede" sheetId="8" state="hidden" r:id="rId8"/>
    <sheet name="Gráficas" sheetId="9" state="hidden" r:id="rId9"/>
    <sheet name="BCE DIC 2022" sheetId="10" state="hidden" r:id="rId10"/>
    <sheet name="BCE DIC 2021" sheetId="11" state="hidden" r:id="rId11"/>
    <sheet name="BCE DIC 2019" sheetId="12" state="hidden" r:id="rId12"/>
  </sheets>
  <definedNames>
    <definedName name="_xlnm._FilterDatabase" localSheetId="9" hidden="1">'BCE DIC 2022'!$A$1:$K$428</definedName>
    <definedName name="_xlnm.Print_Area" localSheetId="1">'Estado de Situación Financiera'!$A$56:$J$97</definedName>
    <definedName name="_xlnm.Print_Area" localSheetId="2">'Estado integral de resultados'!$A$2:$I$40</definedName>
    <definedName name="_xlnm.Print_Area" localSheetId="7">'Proyecto distribución de excede'!$A$1:$F$32</definedName>
  </definedNames>
  <calcPr fullCalcOnLoad="1"/>
</workbook>
</file>

<file path=xl/comments2.xml><?xml version="1.0" encoding="utf-8"?>
<comments xmlns="http://schemas.openxmlformats.org/spreadsheetml/2006/main">
  <authors>
    <author>Contabilidad</author>
  </authors>
  <commentList>
    <comment ref="D68" authorId="0">
      <text>
        <r>
          <rPr>
            <b/>
            <sz val="9"/>
            <rFont val="Tahoma"/>
            <family val="0"/>
          </rPr>
          <t>Contabilidad:</t>
        </r>
        <r>
          <rPr>
            <sz val="9"/>
            <rFont val="Tahoma"/>
            <family val="0"/>
          </rPr>
          <t xml:space="preserve">
2435 2440</t>
        </r>
      </text>
    </comment>
    <comment ref="D77" authorId="0">
      <text>
        <r>
          <rPr>
            <b/>
            <sz val="9"/>
            <rFont val="Tahoma"/>
            <family val="0"/>
          </rPr>
          <t>Contabilidad:</t>
        </r>
        <r>
          <rPr>
            <sz val="9"/>
            <rFont val="Tahoma"/>
            <family val="0"/>
          </rPr>
          <t xml:space="preserve">
2710</t>
        </r>
      </text>
    </comment>
    <comment ref="D78" authorId="0">
      <text>
        <r>
          <rPr>
            <b/>
            <sz val="9"/>
            <rFont val="Tahoma"/>
            <family val="0"/>
          </rPr>
          <t>Contabilidad:</t>
        </r>
        <r>
          <rPr>
            <sz val="9"/>
            <rFont val="Tahoma"/>
            <family val="0"/>
          </rPr>
          <t xml:space="preserve">
2725</t>
        </r>
      </text>
    </comment>
  </commentList>
</comments>
</file>

<file path=xl/sharedStrings.xml><?xml version="1.0" encoding="utf-8"?>
<sst xmlns="http://schemas.openxmlformats.org/spreadsheetml/2006/main" count="2047" uniqueCount="860">
  <si>
    <t xml:space="preserve"> </t>
  </si>
  <si>
    <t>NOTAS</t>
  </si>
  <si>
    <t>CORRIENTE</t>
  </si>
  <si>
    <t>TOTAL PATRIMONIO</t>
  </si>
  <si>
    <t>TOTAL PASIVO Y PATRIMONIO</t>
  </si>
  <si>
    <t xml:space="preserve">  $</t>
  </si>
  <si>
    <t xml:space="preserve">   %</t>
  </si>
  <si>
    <t>INGRESOS OPERACIONALES</t>
  </si>
  <si>
    <t>Recuperaciones</t>
  </si>
  <si>
    <t>TOTAL INGRESOS</t>
  </si>
  <si>
    <t>Gastos de Personal</t>
  </si>
  <si>
    <t>Gastos Generales</t>
  </si>
  <si>
    <t>EXCEDENTE DEL EJERCICIO</t>
  </si>
  <si>
    <t>TOTAL ACTIVO CORRIENTE</t>
  </si>
  <si>
    <t>Depreciaciones</t>
  </si>
  <si>
    <t>Propiedad Planta y Equipo</t>
  </si>
  <si>
    <t>TOTAL OTROS ACTIVOS</t>
  </si>
  <si>
    <t>Inversiones</t>
  </si>
  <si>
    <t xml:space="preserve">   </t>
  </si>
  <si>
    <t>COOPBENECUN</t>
  </si>
  <si>
    <t>Banco y Otras Entidades</t>
  </si>
  <si>
    <t>Total Dosponible</t>
  </si>
  <si>
    <t>Credito Asociados</t>
  </si>
  <si>
    <t>Provisión Cartera Credito</t>
  </si>
  <si>
    <t>Provisión Intereses</t>
  </si>
  <si>
    <t>TOTAL CARTERA CREDITO ASOCIADOS</t>
  </si>
  <si>
    <t>Cuentas Por Cobrar Asociados</t>
  </si>
  <si>
    <t>Otras Cuentas Por Cobrar</t>
  </si>
  <si>
    <t>TOTAL CUENTAS POR COBRAR</t>
  </si>
  <si>
    <t>Deudores Patronales y Empresas</t>
  </si>
  <si>
    <t>TOTAL DEUDORES</t>
  </si>
  <si>
    <t>INVERSIONES</t>
  </si>
  <si>
    <t>Inversiones Entidades Cooperativas</t>
  </si>
  <si>
    <t>Titulos Emitidos por Establ.Fros y Publicos</t>
  </si>
  <si>
    <t>Provisión Inversiones</t>
  </si>
  <si>
    <t>TOTAL INVERSIONES</t>
  </si>
  <si>
    <t>TOTAL ACTIVO LARGO PLAZO</t>
  </si>
  <si>
    <t>PROPIEDAD PLANTA Y EQUIPO</t>
  </si>
  <si>
    <t>Terrenos</t>
  </si>
  <si>
    <t>Edificaciones</t>
  </si>
  <si>
    <t>Muebles y Equipos de Oficina</t>
  </si>
  <si>
    <t>Equipo de Computación y Comunicación</t>
  </si>
  <si>
    <t>Depreciación Acumulada</t>
  </si>
  <si>
    <t>TOTAL PROPIEDAD PLANTA Y EQUIPO</t>
  </si>
  <si>
    <t>OTROS ACTIVOS</t>
  </si>
  <si>
    <t>Valorizaciones</t>
  </si>
  <si>
    <t xml:space="preserve">     TOTAL ACTIVO</t>
  </si>
  <si>
    <t>CUENTAS DE ORDEN</t>
  </si>
  <si>
    <t>%</t>
  </si>
  <si>
    <t>ABSOLUTA</t>
  </si>
  <si>
    <t>PASIVOS</t>
  </si>
  <si>
    <t>CUENTAS POR PAGAR</t>
  </si>
  <si>
    <t>Cuentas por Pagar Asociados</t>
  </si>
  <si>
    <t>Impuestos por Pagar</t>
  </si>
  <si>
    <t>Exasociados Retiros</t>
  </si>
  <si>
    <t>Otras Cuentas por Pagar</t>
  </si>
  <si>
    <t>TOTAL CUENTAS POR PAGAR</t>
  </si>
  <si>
    <t>FONDOS SOCIALES</t>
  </si>
  <si>
    <t>Fondo para Educación</t>
  </si>
  <si>
    <t>Fondo para Solidaridad</t>
  </si>
  <si>
    <t>TOTAL FONDOS SOCIALES</t>
  </si>
  <si>
    <t>PASIVOS ESTIMADOS Y PROVISIONES</t>
  </si>
  <si>
    <t>Ingresoso para Terceros</t>
  </si>
  <si>
    <t>Intereses anticipados</t>
  </si>
  <si>
    <t>Obligaciones Laborales Consolidadas</t>
  </si>
  <si>
    <t>PATRIMONIO</t>
  </si>
  <si>
    <t>Aportes Sociales</t>
  </si>
  <si>
    <t>Reserva Proteccion Aportes Sociales</t>
  </si>
  <si>
    <t>Fondos Especial</t>
  </si>
  <si>
    <t>Fondo Sociales Capitalizados</t>
  </si>
  <si>
    <t>Excedente del Ejercicio</t>
  </si>
  <si>
    <t>TOTAL PASIVOS  Y PROVISIONES</t>
  </si>
  <si>
    <t xml:space="preserve">      TOTAL  PASIVOS</t>
  </si>
  <si>
    <t>Reserva Especial</t>
  </si>
  <si>
    <t>Servicios</t>
  </si>
  <si>
    <t>Financieros</t>
  </si>
  <si>
    <t>Otros ingresos</t>
  </si>
  <si>
    <t>COSTOS  Y  GASTOS</t>
  </si>
  <si>
    <t>Agostamiento y Amortizaciones</t>
  </si>
  <si>
    <t>Provisiones</t>
  </si>
  <si>
    <t>Otros</t>
  </si>
  <si>
    <t>TOTAL  COSTOS Y  GASTOS</t>
  </si>
  <si>
    <t>Representante Legal y Gerente</t>
  </si>
  <si>
    <t xml:space="preserve">             Revisor Fiscal</t>
  </si>
  <si>
    <t xml:space="preserve">                 TP 7187-T</t>
  </si>
  <si>
    <t>Fondos Sociales</t>
  </si>
  <si>
    <t>Honorarios</t>
  </si>
  <si>
    <t>Reparaciones Locativas</t>
  </si>
  <si>
    <t>Vigilancia y Celaduría</t>
  </si>
  <si>
    <t>Fondo de Bienestar Social</t>
  </si>
  <si>
    <t>Efectivo</t>
  </si>
  <si>
    <t>Cartera Asociados</t>
  </si>
  <si>
    <t>Otras Cuenta por Cobrar</t>
  </si>
  <si>
    <t>Cuentas por Pagar</t>
  </si>
  <si>
    <t>Pasivos y Provisiones</t>
  </si>
  <si>
    <t>Fondos Especiales</t>
  </si>
  <si>
    <t>Fondos Sociales Capitalizados</t>
  </si>
  <si>
    <t>Excedente Ejercicio</t>
  </si>
  <si>
    <t>Reser Protecc Aport Sociales</t>
  </si>
  <si>
    <t>TOTAL ACTIVO</t>
  </si>
  <si>
    <t>EGRESOS</t>
  </si>
  <si>
    <t>Agotamiento y Amortiza</t>
  </si>
  <si>
    <t>TOTAL EGRESOS</t>
  </si>
  <si>
    <t>EGRESOS REPRESENTATIVOS</t>
  </si>
  <si>
    <t>CUENTAS</t>
  </si>
  <si>
    <t>DISTRIBUCIÒN DEL ACTIVO</t>
  </si>
  <si>
    <t>DISTRIBUCION DEL PASIVO</t>
  </si>
  <si>
    <t>DISTRIBUCION DEL PATRIMONIO</t>
  </si>
  <si>
    <t xml:space="preserve">  CLASIFICACIÓN DE LOS  INGRESOS</t>
  </si>
  <si>
    <t>TOTAL</t>
  </si>
  <si>
    <t>1.  INDICADORES DE LIQUIDEZ</t>
  </si>
  <si>
    <t>=</t>
  </si>
  <si>
    <t>Activo corriente</t>
  </si>
  <si>
    <t>Pasivo Corriente</t>
  </si>
  <si>
    <t>2.  CAPITAL DE TRABAJO</t>
  </si>
  <si>
    <t>Activo corriente  -  Pasivo corriente</t>
  </si>
  <si>
    <t>-</t>
  </si>
  <si>
    <t>sus pasivos de corto plazo, en el caso que tuvieran que ser cancelados de inmediato.</t>
  </si>
  <si>
    <t>A.  ESTRUCTURA DE CAPITAL</t>
  </si>
  <si>
    <t>Pasivo Total</t>
  </si>
  <si>
    <t>Capital Contable</t>
  </si>
  <si>
    <t>Activo total - pasivo corriente =  Activo neto</t>
  </si>
  <si>
    <t>C.  ENDEUDAMIENTO GLOBAL</t>
  </si>
  <si>
    <t>Pasivo Total / Activo total</t>
  </si>
  <si>
    <t>Aportes sociales / Activo Total</t>
  </si>
  <si>
    <t>2.  COEFICIENTE DE OPERACIÓN</t>
  </si>
  <si>
    <t>FONDO DE SOLIDARIDAD</t>
  </si>
  <si>
    <t>SUMAS  IGUALES</t>
  </si>
  <si>
    <t>Fondo de Amortización de Aportes</t>
  </si>
  <si>
    <t>Fondo Amortizacion Aport</t>
  </si>
  <si>
    <t>Gastos de Asamblea</t>
  </si>
  <si>
    <t>Impuestos</t>
  </si>
  <si>
    <t xml:space="preserve">Otros </t>
  </si>
  <si>
    <t>Obligaciones Financieras</t>
  </si>
  <si>
    <t>Efectivo y equivalentes de efectivo</t>
  </si>
  <si>
    <t>Deudores comerciales</t>
  </si>
  <si>
    <t>ACTIVOS  FINANCIEROS</t>
  </si>
  <si>
    <t>TOTAL ACTIVOS FINANCIEROS</t>
  </si>
  <si>
    <t>PASIVOS CORRIENTES</t>
  </si>
  <si>
    <t>Pasivos por impuestos</t>
  </si>
  <si>
    <t>Cuentas por pagar</t>
  </si>
  <si>
    <t>OTROS PASIVOS NO FINANCEROS</t>
  </si>
  <si>
    <t>Diferidos</t>
  </si>
  <si>
    <t>OTROS ACTIVOS FINANCIEROS</t>
  </si>
  <si>
    <t>TOTAL DEUDORES A CORTO PLAZO</t>
  </si>
  <si>
    <t>TOTAL OTROS PASIVOS NO FINANCIEROS</t>
  </si>
  <si>
    <t>Deudores comerciales intereses</t>
  </si>
  <si>
    <t xml:space="preserve">       VARIACIÓN</t>
  </si>
  <si>
    <t>RELATIVA</t>
  </si>
  <si>
    <t>Deterioro deudores</t>
  </si>
  <si>
    <t>Deterioro intereses</t>
  </si>
  <si>
    <t>Otras cuentas por cobrar</t>
  </si>
  <si>
    <t>Deudores a largo plazo</t>
  </si>
  <si>
    <t>PROPIEDAD, PLANTA Y EQUIPO</t>
  </si>
  <si>
    <t>Muebles y equipo de oficina</t>
  </si>
  <si>
    <t>Equipos de cómputo y comunicación</t>
  </si>
  <si>
    <t>Depreciación acumulada</t>
  </si>
  <si>
    <t>TOTAL PROPIEDAD, PLANTA Y EQUIPO</t>
  </si>
  <si>
    <t>Bienes inmuebles en dación de pago</t>
  </si>
  <si>
    <t>Provisión inmueble en dación de pago</t>
  </si>
  <si>
    <t>Otras cuentas por pagar</t>
  </si>
  <si>
    <t>Otros pasivos</t>
  </si>
  <si>
    <t>Pasivos por beneficios a empleados</t>
  </si>
  <si>
    <t>Ingresos  para terceros</t>
  </si>
  <si>
    <t>Fondos patrimoniales</t>
  </si>
  <si>
    <t>Excedente del ejercicio</t>
  </si>
  <si>
    <t>Reserva protección aportes sociales</t>
  </si>
  <si>
    <t>Cuentas de orden</t>
  </si>
  <si>
    <t>ÉDGAR ESCOBAR ORTIZ</t>
  </si>
  <si>
    <t>VARIACIÓN</t>
  </si>
  <si>
    <t>Gastos generales</t>
  </si>
  <si>
    <t>Agotamiento y amortizaciones</t>
  </si>
  <si>
    <t xml:space="preserve">     GABRIEL RINCÓN PARDO</t>
  </si>
  <si>
    <t xml:space="preserve">       (VER DICTAMEN ADJUNTO)</t>
  </si>
  <si>
    <t>(VER CERTIFICACIÓN ADJUNTA)</t>
  </si>
  <si>
    <t>ÍNDICES ECONÓMICOS</t>
  </si>
  <si>
    <t>1.  ÍNDICE DE EFICIENCIA</t>
  </si>
  <si>
    <t>Total ingresos / Total activos</t>
  </si>
  <si>
    <t>D.  PARTICIPACIÓN SOCIAL</t>
  </si>
  <si>
    <t>B.  CAPITALIZACIÓN DE LA OBLIGACIÓN</t>
  </si>
  <si>
    <t>3.  INDICADORES DE SOLIDEZ O ESTABILIDAD</t>
  </si>
  <si>
    <t>INTERPRETACIÓN</t>
  </si>
  <si>
    <t xml:space="preserve">Esta es una forma cuantitativa (en pesos) de interpretar la razón corriente.   </t>
  </si>
  <si>
    <t>Representa cuánto le quedaría a la empresa despúes de haber pagado todos</t>
  </si>
  <si>
    <t>ÍNDICES FINANCIEROS</t>
  </si>
  <si>
    <t xml:space="preserve">Muestra la disponibilidad que tiene la empresa a corto plazo para afrontar sus compromisos </t>
  </si>
  <si>
    <t>de alguna pérdida o reducción en el valor de los activos corrientes.</t>
  </si>
  <si>
    <t xml:space="preserve">también en el corto plazo, guardando cierto margen de seguridad en previsión </t>
  </si>
  <si>
    <t>para respaldar las obligaciones.</t>
  </si>
  <si>
    <t xml:space="preserve">Por cada peso que la empresa debe en el corto plazo, tiene   </t>
  </si>
  <si>
    <t>A.  RELACIÓN CIRCULANTE</t>
  </si>
  <si>
    <t>Costo y gastos de operación / Total de ingresos</t>
  </si>
  <si>
    <t>PROYECTO  DISTRIBUCIÓN DE  EXCEDENTES</t>
  </si>
  <si>
    <t>RESERVA  PROTECCIÓN APORTES SOCIALES</t>
  </si>
  <si>
    <t>FONDO  DE  EDUCACIÓN</t>
  </si>
  <si>
    <t>REVALORIZACIÓN APORTES SOCIALES</t>
  </si>
  <si>
    <t>FACTOR DISTRIBUCIÓN</t>
  </si>
  <si>
    <t>DISTRIBUCIÓN DEL PATRIMONIO</t>
  </si>
  <si>
    <t>DISTRIBUCIÓN DEL PASIVO</t>
  </si>
  <si>
    <t>TOTAL PASIVO</t>
  </si>
  <si>
    <t>DISTRIBUCIÓN DEL ACTIVO</t>
  </si>
  <si>
    <t>Cartera asociados</t>
  </si>
  <si>
    <t>Propiedad, planta y equipo</t>
  </si>
  <si>
    <t>Fondos sociales</t>
  </si>
  <si>
    <t>Pasivos y provisiones</t>
  </si>
  <si>
    <t>Aportes sociales</t>
  </si>
  <si>
    <t>Reserva especial</t>
  </si>
  <si>
    <t>Fondos especiales</t>
  </si>
  <si>
    <t>Fondos sociales capitalizados</t>
  </si>
  <si>
    <t>Fondo amortización aportes sociales</t>
  </si>
  <si>
    <t>Excedente ejercicio</t>
  </si>
  <si>
    <t>Gastos de personal</t>
  </si>
  <si>
    <t>Gastos de asamblea</t>
  </si>
  <si>
    <t>Vigilancia y celaduría</t>
  </si>
  <si>
    <t>ESTADO DE SITUACIÓN FINANCIERA INDIVIDUAL</t>
  </si>
  <si>
    <t>ESTADO DE RESULTADOS INTEGRAL INDIVIDUAL</t>
  </si>
  <si>
    <t>ESTADO DE CAMBIOS EN EL PATRIMONIO</t>
  </si>
  <si>
    <t xml:space="preserve">   APORTES SOCIALES</t>
  </si>
  <si>
    <t xml:space="preserve"> Saldo al inicio del año</t>
  </si>
  <si>
    <t>Saldo al final del año</t>
  </si>
  <si>
    <t xml:space="preserve">  RESERVAS ESPECIALES</t>
  </si>
  <si>
    <t>FONDOS PATRIMONIALES</t>
  </si>
  <si>
    <t xml:space="preserve">TOTAL PATRIMONIO </t>
  </si>
  <si>
    <t>ESTADO DE FLUJOS  DE EFECTIVO</t>
  </si>
  <si>
    <t>Flujo de efectivo proveniente de las operaciones :</t>
  </si>
  <si>
    <t>Ajuste para conciliar el excedente neto y el efectivo provisto por las operaciones</t>
  </si>
  <si>
    <t>Efectivo generado en operación</t>
  </si>
  <si>
    <t>Cambios en activos y pasivos operacionales :</t>
  </si>
  <si>
    <t xml:space="preserve">    </t>
  </si>
  <si>
    <t xml:space="preserve">         Inversiones</t>
  </si>
  <si>
    <t xml:space="preserve">         Cuentas por pagar</t>
  </si>
  <si>
    <t xml:space="preserve">         Impuestos, gravámenes y tasas</t>
  </si>
  <si>
    <t xml:space="preserve">         Otros Pasivos  </t>
  </si>
  <si>
    <t>Efectivo neto (usado en) provisto por las</t>
  </si>
  <si>
    <t>operaciones</t>
  </si>
  <si>
    <t>Flujo de efectivo de las actividades de inversión</t>
  </si>
  <si>
    <t>actividades de inversión</t>
  </si>
  <si>
    <t>Flujo de efectivo de las actividades de financiación</t>
  </si>
  <si>
    <t xml:space="preserve">         Aumento en propiedad planta y equipo</t>
  </si>
  <si>
    <t xml:space="preserve">         Aumento de abonos diferidos</t>
  </si>
  <si>
    <t>actividades de financiaciòn</t>
  </si>
  <si>
    <t xml:space="preserve">         Efectivo y equivalentes de efectivo al inicio del año</t>
  </si>
  <si>
    <t>Efectivo y equivalentes de efectivo al final del año</t>
  </si>
  <si>
    <t xml:space="preserve">                                  Revisor  Fiscal</t>
  </si>
  <si>
    <t>CUENTA</t>
  </si>
  <si>
    <t>NOMBRE DE CUENTA</t>
  </si>
  <si>
    <t>SALDO ANTERIOR</t>
  </si>
  <si>
    <t>DEBITO</t>
  </si>
  <si>
    <t>CREDITO</t>
  </si>
  <si>
    <t>SALDO</t>
  </si>
  <si>
    <t>MOV</t>
  </si>
  <si>
    <t>ACTIVO</t>
  </si>
  <si>
    <t>EFECTIVO Y EQUIVALENTE AL EFECTIVO</t>
  </si>
  <si>
    <t>CAJA</t>
  </si>
  <si>
    <t>CAJA GENERAL</t>
  </si>
  <si>
    <t>Caja General</t>
  </si>
  <si>
    <t>CAJA MENOR</t>
  </si>
  <si>
    <t>Caja Menor Gerencia</t>
  </si>
  <si>
    <t>BANCOS Y OTRAS ENTIDADES FINANCIERAS</t>
  </si>
  <si>
    <t>BANCOS COMERCIALES</t>
  </si>
  <si>
    <t>Bco. Bogota C. Cte 10700315-4</t>
  </si>
  <si>
    <t>Bco. Bogota C. Exenta 10700754-4</t>
  </si>
  <si>
    <t>Bco. Bogotá Servicios Cta. 17063097-5</t>
  </si>
  <si>
    <t>EQUIVALENTES AL EFECTIVO (compromiso de pago)</t>
  </si>
  <si>
    <t xml:space="preserve">INVERSIONES A CORTO PLAZO, CLASIFICADOS COMO </t>
  </si>
  <si>
    <t>CDT Banco de Bogota</t>
  </si>
  <si>
    <t>CDT Banco Pichincha</t>
  </si>
  <si>
    <t>C.D.T. BANCO SUDAMERIS</t>
  </si>
  <si>
    <t>FONDOS FIDUCIARIOS A LA VISTA</t>
  </si>
  <si>
    <t>Encargo Fiduciario No.100100552050</t>
  </si>
  <si>
    <t>FONDO DE LIQUIDEZ</t>
  </si>
  <si>
    <t>CERTIFICADO DE DEPÓSITO A TÉRMINO</t>
  </si>
  <si>
    <t>INVERSIONES EN INSTRUMENTOS DE PATRIMONIO</t>
  </si>
  <si>
    <t>APORTES SOCIALES EN ENTIDADES ECONOMÍA SOLIDA</t>
  </si>
  <si>
    <t>SEGUROS LA EQUIDAD</t>
  </si>
  <si>
    <t>CINCOP CENTRAL INTEGR Y CAPACITA COOPERATIVA</t>
  </si>
  <si>
    <t>CARTERA DE CRÉDITOS</t>
  </si>
  <si>
    <t>CREDITOS DE CONSUMO, GARANTIA ADMISIBLE - CON</t>
  </si>
  <si>
    <t>CATEGORIA A RIESGO NORMAL</t>
  </si>
  <si>
    <t>Consumo Garantía Adm Categoría A con Libranza</t>
  </si>
  <si>
    <t>CATEGORIA B RIESGO ACEPTABLE</t>
  </si>
  <si>
    <t>Consumo Garantía Adm Categoría B con Libranza</t>
  </si>
  <si>
    <t>CREDITOS DE CONSUMO, GARANTIA ADMISIBLE - SIN</t>
  </si>
  <si>
    <t>Consumo Garantía Adm Categoría A sin Libranza</t>
  </si>
  <si>
    <t>Consumo Garantía Adm Categoría B sin Libranza</t>
  </si>
  <si>
    <t>CATEGORIA C RIESGO APRECIABLE</t>
  </si>
  <si>
    <t>CATEGORIA E RIESGO DE INCOBRABILIDAD</t>
  </si>
  <si>
    <t>CREDITOS DE CONSUMO, OTRAS GARANTIAS - CON LI</t>
  </si>
  <si>
    <t>Consumo Otras Garant Categoría A con Libranza</t>
  </si>
  <si>
    <t>Consumo Otras Garant Categoría B con Libranza</t>
  </si>
  <si>
    <t>Consumo Otras Garant Categoría C con Libranza</t>
  </si>
  <si>
    <t>CATEGORIA D RIESGO SIGNIFICATIVO</t>
  </si>
  <si>
    <t>Consumo Otras Garant Categoría D con Libranza</t>
  </si>
  <si>
    <t>CREDITOS DE CONSUMO, OTRAS GARANTIAS - SIN LI</t>
  </si>
  <si>
    <t>Consumo Otras Garant Categoría A sin Libranza</t>
  </si>
  <si>
    <t>Consumo Otras Garant Categoría B sin Libranza</t>
  </si>
  <si>
    <t>Consumo Otras Garant Categoría C sin Libranza</t>
  </si>
  <si>
    <t>Consumo Otras Garant Categoría D sin Libranza</t>
  </si>
  <si>
    <t>Consumo Otras Garant Categoría E sin Libranza</t>
  </si>
  <si>
    <t>INTERESES CREDITOS DE CONSUMO</t>
  </si>
  <si>
    <t>Consumo Corrientes Categoría A</t>
  </si>
  <si>
    <t>Consumo Moratorios Categoría A</t>
  </si>
  <si>
    <t>Consumo Corrientes Categoría B</t>
  </si>
  <si>
    <t>Consumo Moratorios Categoría B</t>
  </si>
  <si>
    <t>Consumo Corrientes Categoría C</t>
  </si>
  <si>
    <t>Consumo Moratorios Categoría C</t>
  </si>
  <si>
    <t>Consumo Corrientes Categoría D</t>
  </si>
  <si>
    <t>Consumo Moratorios Categoría D</t>
  </si>
  <si>
    <t>Consumo Corrientes Categoría E</t>
  </si>
  <si>
    <t>Consumo Moratorios Categoría E</t>
  </si>
  <si>
    <t>INTERESES CREDITOS CON PERIODO DE GRACIA</t>
  </si>
  <si>
    <t>Otras Cuentas por Cobrar</t>
  </si>
  <si>
    <t>PAGOS POR CUENTA DE ASOCIADOS - CRÉDITOS CONS</t>
  </si>
  <si>
    <t>OTROS CONCEPTOS CAUSADOS POR PERIODOS DE GRAC</t>
  </si>
  <si>
    <t>Seguro Deudores Alivio Financiero</t>
  </si>
  <si>
    <t>DETERIORO CRÉDITOS DE CONSUMO (CR)</t>
  </si>
  <si>
    <t>CATEGORIA B RIESGO ACEPTABLE OTRAS GARANTIAS</t>
  </si>
  <si>
    <t>Consumo Otras Garantías Categoría B</t>
  </si>
  <si>
    <t>CATEGORIA C RIESGO APRECIABLE OTRAS GARANTIAS</t>
  </si>
  <si>
    <t>Consumo Otras Garantías Categoría C</t>
  </si>
  <si>
    <t>CATEGORIA D RIESGO SIGNIFICATIVO OTRAS GARANT</t>
  </si>
  <si>
    <t>Consumo Otras Garantías Categoría D</t>
  </si>
  <si>
    <t>CATEGORIA E RIESGO DE INCOBRABILIDAD OTRAS GA</t>
  </si>
  <si>
    <t>Consumo Otras Garantías Categoría E</t>
  </si>
  <si>
    <t>DETERIORO INTERESES CREDITOS DE CONSUMO (CR)</t>
  </si>
  <si>
    <t>Consumo Categoria C</t>
  </si>
  <si>
    <t>Consumo Categoria D</t>
  </si>
  <si>
    <t>Consumo Categoria E</t>
  </si>
  <si>
    <t>INTERESES CREDITOS CON PERIODOS DE GRACIA</t>
  </si>
  <si>
    <t>Deterioro Intereses de Créditos de Consumo</t>
  </si>
  <si>
    <t>DETERIORO PAGO POR CUENTA DE ASOCIADOS - CRED</t>
  </si>
  <si>
    <t>Deterioro Otros Conceptos de Créditos de 
Con</t>
  </si>
  <si>
    <t>DETERIORO GENERAL DE CARTERA DE CRÉDITOS</t>
  </si>
  <si>
    <t>Créditos con Libranza</t>
  </si>
  <si>
    <t>CUENTAS POR COBRAR Y OTRAS</t>
  </si>
  <si>
    <t>ANTICIPOS</t>
  </si>
  <si>
    <t>PROVEEDORES</t>
  </si>
  <si>
    <t>ANTICIPOS CONVENIOS</t>
  </si>
  <si>
    <t>OTROS</t>
  </si>
  <si>
    <t>Seguro Deudores</t>
  </si>
  <si>
    <t>DEUDORES PATRONALES Y EMPRESAS</t>
  </si>
  <si>
    <t>DESCUENTO DE NOMINA</t>
  </si>
  <si>
    <t>Descuentos de Nómina</t>
  </si>
  <si>
    <t>RESPONSABILIDADES PENDIENTES</t>
  </si>
  <si>
    <t>ASOCIADOS</t>
  </si>
  <si>
    <t>Cuentas por Cobrar a Ex-Asociados</t>
  </si>
  <si>
    <t>OTRAS CUENTAS POR COBRAR</t>
  </si>
  <si>
    <t>RECLAMOS A COMPAÑÍAS ASEGURADORAS</t>
  </si>
  <si>
    <t>Reclamos por cobrar Mapfre</t>
  </si>
  <si>
    <t>ACTIVOS MATERIALES</t>
  </si>
  <si>
    <t>TERRENOS</t>
  </si>
  <si>
    <t>Terrenos Urbanos</t>
  </si>
  <si>
    <t>EDIFICACIONES</t>
  </si>
  <si>
    <t>Edificios</t>
  </si>
  <si>
    <t>MUEBLES Y EQUIPO DE OFICINA</t>
  </si>
  <si>
    <t>Muebles</t>
  </si>
  <si>
    <t>Equipos</t>
  </si>
  <si>
    <t>EQUIPO DE COMPUTO Y COMUNICACION</t>
  </si>
  <si>
    <t>Equipo de Cómputo</t>
  </si>
  <si>
    <t>BIENES RECIBIDOS EN PAGO</t>
  </si>
  <si>
    <t>Inmuebles Recibidos en Dación de Pago</t>
  </si>
  <si>
    <t>DEPRECIACIÓN PROPIEDAD, PLANTA Y EQUIPO (CR)</t>
  </si>
  <si>
    <t>Muebles y Equipo de Oficina</t>
  </si>
  <si>
    <t>Equipo de Cómputo y Comunicaciones</t>
  </si>
  <si>
    <t>Provision Imbueble Dacion de Pago</t>
  </si>
  <si>
    <t>CUENTAS POR PAGAR Y OTRAS</t>
  </si>
  <si>
    <t>COMISIONES Y HONORARIOS</t>
  </si>
  <si>
    <t>OTRAS</t>
  </si>
  <si>
    <t>RETENCION EN LA FUENTE</t>
  </si>
  <si>
    <t>HONORARIOS</t>
  </si>
  <si>
    <t>Honorarios 10%</t>
  </si>
  <si>
    <t>SERVICIOS</t>
  </si>
  <si>
    <t>Servicios 4%</t>
  </si>
  <si>
    <t>Servicios 6%</t>
  </si>
  <si>
    <t>Servicios Retencion 3.5%</t>
  </si>
  <si>
    <t>COMPRAS</t>
  </si>
  <si>
    <t>Compras</t>
  </si>
  <si>
    <t>RETENCION DE IMPUESTO DE INDUSTRIA Y COMERCIO</t>
  </si>
  <si>
    <t>Retención de Ica</t>
  </si>
  <si>
    <t>IMPUESTOS, GRAVÁMENES Y TASAS POR PAGAR</t>
  </si>
  <si>
    <t>INDUSTRIA Y COMERCIO</t>
  </si>
  <si>
    <t>Vigencia fiscal corriente</t>
  </si>
  <si>
    <t>RETENCIONES Y APORTES LABORALES</t>
  </si>
  <si>
    <t>APORTES A BIENESTAR PROMOTORAS DE SALUD EPS</t>
  </si>
  <si>
    <t>Aportes por Salud</t>
  </si>
  <si>
    <t>APORTES A BIENESTAR PROMOTORAS DE PENSION</t>
  </si>
  <si>
    <t>Aportes por Pensión</t>
  </si>
  <si>
    <t>APORTES A ADMINISTRADORAS DE RIESGOS LABORALE</t>
  </si>
  <si>
    <t>Aportes a A.R.P.</t>
  </si>
  <si>
    <t>APORTES AL ICBF, SENA Y CAJAS DE COMPENSACIÓN</t>
  </si>
  <si>
    <t>Aportes a Cajas, ICBF y Sena</t>
  </si>
  <si>
    <t>EXIGIBILIDADES POR SERVICIOS DE RECAUDO</t>
  </si>
  <si>
    <t>GIROS POR PAGAR</t>
  </si>
  <si>
    <t>Creditos por desembolsar</t>
  </si>
  <si>
    <t>Poliza Exequial Jardines de Paz</t>
  </si>
  <si>
    <t>Nomina por pagar empleados</t>
  </si>
  <si>
    <t>REMANENTES POR PAGAR</t>
  </si>
  <si>
    <t>DE APORTES EXASOCIADOS</t>
  </si>
  <si>
    <t>Remanentes por Pagar</t>
  </si>
  <si>
    <t>FONDOS SOCIALES Y MUTUALES</t>
  </si>
  <si>
    <t>FONDO SOCIAL DE EDUCACIÓN</t>
  </si>
  <si>
    <t>Fondo de Educación</t>
  </si>
  <si>
    <t>FONDO SOCIAL DE SOLIDARIDAD</t>
  </si>
  <si>
    <t>Fondo de Solidaridad</t>
  </si>
  <si>
    <t>OTROS PASIVOS</t>
  </si>
  <si>
    <t>OBLIGACIONES LABORALES POR BENEFICIOS A EMPLE</t>
  </si>
  <si>
    <t>BENEFICIOS A EMPLEADOS A CORTO PLAZO</t>
  </si>
  <si>
    <t>Cesantias</t>
  </si>
  <si>
    <t>Intereses a las Cesantias</t>
  </si>
  <si>
    <t>Vacaciones</t>
  </si>
  <si>
    <t>Prima de Servicios</t>
  </si>
  <si>
    <t>INGRESOS ANTICIPADOS</t>
  </si>
  <si>
    <t>INTERESES</t>
  </si>
  <si>
    <t>Intereses Anticipado</t>
  </si>
  <si>
    <t>Reproceso</t>
  </si>
  <si>
    <t>Abonos para Aplicar a Obligaciones</t>
  </si>
  <si>
    <t>INGRESOS RECIBIDOS PARA TERCEROS</t>
  </si>
  <si>
    <t>VALORES RECIBIDOS PARA TERCEROS</t>
  </si>
  <si>
    <t>Seguros de deudores Asociados</t>
  </si>
  <si>
    <t>Asistencia Medica EMI</t>
  </si>
  <si>
    <t>CAPITAL SOCIAL</t>
  </si>
  <si>
    <t>APORTES SOCIALES TEMPORALMENTE RESTRINGIDOS</t>
  </si>
  <si>
    <t>APORTES ORDINARIOS</t>
  </si>
  <si>
    <t>RESERVAS</t>
  </si>
  <si>
    <t>RESERVA PROTECCIÓN DE APORTES</t>
  </si>
  <si>
    <t>Reserva para Protección de Aportes</t>
  </si>
  <si>
    <t>OTRAS RESERVAS</t>
  </si>
  <si>
    <t>FONDOS DE DESTINACIÓN ESPECÍFICA</t>
  </si>
  <si>
    <t>FONDO PARA AMORTIZACION DE APORTES</t>
  </si>
  <si>
    <t>Fondo Para Amortizacion de Aportes</t>
  </si>
  <si>
    <t>FONDO ESPECIAL</t>
  </si>
  <si>
    <t>Fondo Especial</t>
  </si>
  <si>
    <t>FONDO SOCIALES CAPITALIZADOS</t>
  </si>
  <si>
    <t>Adquisición de Inmueble</t>
  </si>
  <si>
    <t>Equipo de Computo</t>
  </si>
  <si>
    <t>Software LINIX</t>
  </si>
  <si>
    <t>EXCEDENTES O PÉRDIDAS NO REALIZADAS (ORI)</t>
  </si>
  <si>
    <t>POR REVALUACIÓN DE PROPIEDAD, PLANTA Y EQUIPO</t>
  </si>
  <si>
    <t>Por Revaluación De Propiedad, Planta Y Equipo</t>
  </si>
  <si>
    <t>INGRESOS</t>
  </si>
  <si>
    <t>INGRESOS POR VENTA DE BIENES Y SERVICIOS</t>
  </si>
  <si>
    <t>INGRESOS CARTERA DE CRÉDITOS</t>
  </si>
  <si>
    <t>INTERESES DE CRÉDITOS CONSUMO</t>
  </si>
  <si>
    <t>Consumo Intereses Corrientes</t>
  </si>
  <si>
    <t>Intereses pronto giro o refinanciación</t>
  </si>
  <si>
    <t>INTERESES MORATORIOS CARTERA CONSUMO</t>
  </si>
  <si>
    <t>Consumo Intereses Moratorios</t>
  </si>
  <si>
    <t>OTROS INGRESOS</t>
  </si>
  <si>
    <t>INGRESOS POR UTILIDAD EN VENTA DE INVERSIONES</t>
  </si>
  <si>
    <t>Rendimientos C.D.T</t>
  </si>
  <si>
    <t>Reintegro de Otros Costos y Gastos</t>
  </si>
  <si>
    <t>RECUPERACIONES DETERIORO</t>
  </si>
  <si>
    <t>DE CRÉDITOS DE CONSUMO</t>
  </si>
  <si>
    <t>Consumo Reintegro Provision</t>
  </si>
  <si>
    <t>GASTOS</t>
  </si>
  <si>
    <t>GASTOS DE ADMINISTRACION</t>
  </si>
  <si>
    <t>BENEFICIO A EMPLEADOS</t>
  </si>
  <si>
    <t>SUELDOS</t>
  </si>
  <si>
    <t>Sueldos</t>
  </si>
  <si>
    <t>AUXILIO DE TRANSPORTE</t>
  </si>
  <si>
    <t>Auxilio de Transporte</t>
  </si>
  <si>
    <t>CESANTIAS</t>
  </si>
  <si>
    <t>Cesantías</t>
  </si>
  <si>
    <t>INTERESES SOBRE CESANTIAS</t>
  </si>
  <si>
    <t>Intereses sobre Cesantías</t>
  </si>
  <si>
    <t>PRIMA LEGAL</t>
  </si>
  <si>
    <t>Prima Legal</t>
  </si>
  <si>
    <t>VACACIONES</t>
  </si>
  <si>
    <t>DOTACION Y SUMINISTRO A TRABAJADORES</t>
  </si>
  <si>
    <t>Dotaciones y Suministros a los Trabajadores</t>
  </si>
  <si>
    <t>APORTES SALUD</t>
  </si>
  <si>
    <t>Eps</t>
  </si>
  <si>
    <t>APORTES PENSION</t>
  </si>
  <si>
    <t>Pensiones</t>
  </si>
  <si>
    <t>APORTES A.R.L</t>
  </si>
  <si>
    <t>APORTES CAJAS DE COMPENSACION FAMILIAR</t>
  </si>
  <si>
    <t>Caja de Compensación</t>
  </si>
  <si>
    <t>APORTES I.C.B.F.</t>
  </si>
  <si>
    <t>I.C.B.F.</t>
  </si>
  <si>
    <t>GASTOS GENERALES</t>
  </si>
  <si>
    <t>Revisoría Fiscal</t>
  </si>
  <si>
    <t>Soporte tecnico de sistemas</t>
  </si>
  <si>
    <t>Juridicos</t>
  </si>
  <si>
    <t>Otros Ing Sistemas</t>
  </si>
  <si>
    <t>Publicista</t>
  </si>
  <si>
    <t>IMPUESTOS</t>
  </si>
  <si>
    <t>Impuesto Predial</t>
  </si>
  <si>
    <t>I.C.A.  Industria y Comercio</t>
  </si>
  <si>
    <t>SEGUROS</t>
  </si>
  <si>
    <t>Transporte de Valores</t>
  </si>
  <si>
    <t>Instalaciones y Equipos Electronicos</t>
  </si>
  <si>
    <t>MANTENIMIENTO Y REPARACIONES</t>
  </si>
  <si>
    <t>De Muebles y Equipos de Oficina</t>
  </si>
  <si>
    <t>De Equipos de Computo</t>
  </si>
  <si>
    <t>REPARACIONES LOCATIVAS</t>
  </si>
  <si>
    <t>De Edificaciones</t>
  </si>
  <si>
    <t>ASEO Y ELEMENTOS</t>
  </si>
  <si>
    <t>Aseo y Elementos</t>
  </si>
  <si>
    <t>CAFETERIA</t>
  </si>
  <si>
    <t>Cafetería</t>
  </si>
  <si>
    <t>SERVICIOS PUBLICOS</t>
  </si>
  <si>
    <t>Acueducto</t>
  </si>
  <si>
    <t>Energia</t>
  </si>
  <si>
    <t>Teléfono</t>
  </si>
  <si>
    <t>Aseo Distrital</t>
  </si>
  <si>
    <t>Gas natural</t>
  </si>
  <si>
    <t>CORREO</t>
  </si>
  <si>
    <t>Portes, Fax, Cables y Telex</t>
  </si>
  <si>
    <t>TRANSPORTE, FLETES Y ACARREOS</t>
  </si>
  <si>
    <t>Transportes</t>
  </si>
  <si>
    <t>PAPELERIA Y UTILES DE OFICINA</t>
  </si>
  <si>
    <t>Papelería</t>
  </si>
  <si>
    <t>FOTOCOPIAS</t>
  </si>
  <si>
    <t>Fotocopias</t>
  </si>
  <si>
    <t>SUMINISTROS</t>
  </si>
  <si>
    <t>Suministros de Sistemas</t>
  </si>
  <si>
    <t>PUBLICIDAD Y PROPAGANDA</t>
  </si>
  <si>
    <t>Publicidad y Propaganda</t>
  </si>
  <si>
    <t>CONTRIBUCIONES Y AFILIACIONES</t>
  </si>
  <si>
    <t>Contribuciones y Afiliaciones</t>
  </si>
  <si>
    <t>GASTOS DE ASAMBLEA</t>
  </si>
  <si>
    <t>GASTOS DE DIRECTIVOS</t>
  </si>
  <si>
    <t>Consejo de Administración</t>
  </si>
  <si>
    <t>Junta de Vigilancia</t>
  </si>
  <si>
    <t>GASTOS DE COMITES</t>
  </si>
  <si>
    <t>Educación</t>
  </si>
  <si>
    <t>Comite de Crédito</t>
  </si>
  <si>
    <t>Comite de Solidaridad</t>
  </si>
  <si>
    <t>Comite de Cartera</t>
  </si>
  <si>
    <t>GASTOS LEGALES</t>
  </si>
  <si>
    <t>Notariales</t>
  </si>
  <si>
    <t>Camara de Comercio</t>
  </si>
  <si>
    <t>INFORMACION COMERCIAL</t>
  </si>
  <si>
    <t>Centrales de Riesgo</t>
  </si>
  <si>
    <t>VIGILANCIA PRIVADA</t>
  </si>
  <si>
    <t>Vigilancia Privada</t>
  </si>
  <si>
    <t>SISTEMATIZACION</t>
  </si>
  <si>
    <t>Monitoreo de Alarmas</t>
  </si>
  <si>
    <t>Software</t>
  </si>
  <si>
    <t>SUSCRIPCIONES Y PUBLICACIONES</t>
  </si>
  <si>
    <t>Suscripciones</t>
  </si>
  <si>
    <t>Gastos fondo de educacion</t>
  </si>
  <si>
    <t>Atencion empleados</t>
  </si>
  <si>
    <t>DETERIORO</t>
  </si>
  <si>
    <t>CRÉDITOS DE CONSUMO</t>
  </si>
  <si>
    <t>Consumo Provision</t>
  </si>
  <si>
    <t>Provision General de Cartera</t>
  </si>
  <si>
    <t>Otras Provisiones</t>
  </si>
  <si>
    <t>Deterioro intereses de créditos de Consumo</t>
  </si>
  <si>
    <t>OTROS CONCEPTOS CAUSADOS PERIODOS DE GRACIA</t>
  </si>
  <si>
    <t>Deterioro Otros Conceptos de
 Créditos Consum</t>
  </si>
  <si>
    <t>DEPRECIACIÓN PROPIEDAD, PLANTA Y EQUIPO</t>
  </si>
  <si>
    <t>Muebles y Equipos de Oficiana</t>
  </si>
  <si>
    <t>Equipo de Computo y Comunicaciones</t>
  </si>
  <si>
    <t>OTROS GASTOS</t>
  </si>
  <si>
    <t>GASTOS FINANCIEROS</t>
  </si>
  <si>
    <t>GASTOS BANCARIOS</t>
  </si>
  <si>
    <t>GRAVÁMENES CERTIFICACIONES Y CONSTANCIAS</t>
  </si>
  <si>
    <t>Impuesto Bancario GMF</t>
  </si>
  <si>
    <t>Ajuste al mil de impuestos</t>
  </si>
  <si>
    <t>COMISIONES</t>
  </si>
  <si>
    <t>Comisiones Bancarias</t>
  </si>
  <si>
    <t>Comision Descuento Colpensiones</t>
  </si>
  <si>
    <t>GASTOS VARIOS</t>
  </si>
  <si>
    <t>CUENTAS DE REVELACION DE INFORMACION FINANCIE</t>
  </si>
  <si>
    <t>DEUDORAS CONTINGENTES</t>
  </si>
  <si>
    <t>INTERESES CARTERA DE CRÉDITOS</t>
  </si>
  <si>
    <t>CATEGORIA C RIESGO APRECIABLE, CONSUMO</t>
  </si>
  <si>
    <t xml:space="preserve">Consumo Corrientes Categoria C </t>
  </si>
  <si>
    <t>CATEGORIA D RIESGO SIGNIFICATIVO, CONSUMO</t>
  </si>
  <si>
    <t>Consumo Corrientes Categoria D</t>
  </si>
  <si>
    <t>Consumo Mora Categoria D</t>
  </si>
  <si>
    <t>CATEGORIA E RIESGO DE INCOBRABILIDAD, CONSUMO</t>
  </si>
  <si>
    <t>Consumo Corrientes Categoria E</t>
  </si>
  <si>
    <t>Consumo Mora Categoria E</t>
  </si>
  <si>
    <t>DEUDORAS DE CONTROL</t>
  </si>
  <si>
    <t>ACTIVOS CASTIGADOS</t>
  </si>
  <si>
    <t>BANCOOP</t>
  </si>
  <si>
    <t>COOPCENTRAL</t>
  </si>
  <si>
    <t>CARTERA DE CRÉDITO</t>
  </si>
  <si>
    <t>Creditos Castigados - Capital</t>
  </si>
  <si>
    <t>Creditos Castigados - Interes Corriente</t>
  </si>
  <si>
    <t>Creditos Castigados - Mora</t>
  </si>
  <si>
    <t>ACTIVOS TOTALMENTE DEPRECIADOS, AGOTADOS O AM</t>
  </si>
  <si>
    <t>Muebles y equipos de oficina totalmente depre</t>
  </si>
  <si>
    <t>Equipos de computo y comunicaciones totalment</t>
  </si>
  <si>
    <t>DEUDORAS CONTINGENTES POR CONTRA (CR)</t>
  </si>
  <si>
    <t>Deudoras Contingentes por Contra (CR)</t>
  </si>
  <si>
    <t>Deudoras de Control por Contra</t>
  </si>
  <si>
    <t>DEUDORAS DE CONTROL POR CONTRA (CR)</t>
  </si>
  <si>
    <t>Oficina</t>
  </si>
  <si>
    <t>Telefax</t>
  </si>
  <si>
    <t>Muebles y equipo de oficina totalmente deprec</t>
  </si>
  <si>
    <t>Equipo de computo y comunicaciones totalmente</t>
  </si>
  <si>
    <t>ACREEDORAS CONTINGENTES</t>
  </si>
  <si>
    <t>BIENES Y VALORES RECIBIDOS EN GARANTIA</t>
  </si>
  <si>
    <t>Comercial</t>
  </si>
  <si>
    <t>Consumo</t>
  </si>
  <si>
    <t>CREDITOS APROBADOS NO DESEMBOLSADOS</t>
  </si>
  <si>
    <t>Creditos aprobados no desembolsados</t>
  </si>
  <si>
    <t>OTRAS RESPONSABILIDADES CONTINGENTES</t>
  </si>
  <si>
    <t>ACREEDORAS POR CONTRA (DB)</t>
  </si>
  <si>
    <t>RESPONSABILIDADES CONTINGENTES POR EL CONTRAR</t>
  </si>
  <si>
    <t>Créditos Aprobados no Desembolsados</t>
  </si>
  <si>
    <t>Garantías Admisibles</t>
  </si>
  <si>
    <t>ACTIVOS NO CORRIENTES MANTENIDOS PARA LA VENT</t>
  </si>
  <si>
    <t>Bienes Inmuebles</t>
  </si>
  <si>
    <t>Servicios 2%</t>
  </si>
  <si>
    <t>FONDO DE BIENESTAR SOCIAL</t>
  </si>
  <si>
    <t>SUPERÁVIT</t>
  </si>
  <si>
    <t>POR INTANGIBLES</t>
  </si>
  <si>
    <t>INGRESOS POR VALORACION INVERSIONES</t>
  </si>
  <si>
    <t>INSTRUMENTOS EQUIVALENTE A EFECTIVO</t>
  </si>
  <si>
    <t>INTERESES DE BANCOS Y OTRAS ENTIDADES CON ACT</t>
  </si>
  <si>
    <t>Intereses Bancarios</t>
  </si>
  <si>
    <t>DIVIDENDOS, PARTICIPACIONES Y RETORNOS</t>
  </si>
  <si>
    <t>Revalorizacion Aportes Seguros la Equidad</t>
  </si>
  <si>
    <t>Administradora de Riesgos Laborales</t>
  </si>
  <si>
    <t>Contabilidad</t>
  </si>
  <si>
    <t>Seguro vida deudores</t>
  </si>
  <si>
    <t>Comite de Riesgo</t>
  </si>
  <si>
    <t>Certificados de Tradición y Libertad</t>
  </si>
  <si>
    <t>SERVICIOS TEMPORALES</t>
  </si>
  <si>
    <t>Servicios Temporales</t>
  </si>
  <si>
    <t>Gastos fondo bienestar social</t>
  </si>
  <si>
    <t>Uso Portal Corporativo</t>
  </si>
  <si>
    <t>Ajustes Años Anteriores</t>
  </si>
  <si>
    <t xml:space="preserve">Consumo Mora Categoria C </t>
  </si>
  <si>
    <t>TOTAL EFECTIVO Y EQUIVALENTE AL EFECTIVO</t>
  </si>
  <si>
    <t>TOTAL ACTIVOS CORRIENTES</t>
  </si>
  <si>
    <t>ACTIVOS</t>
  </si>
  <si>
    <t>NO CORRIENTE</t>
  </si>
  <si>
    <t>TOTAL DEUDORES A LARGO PLAZO</t>
  </si>
  <si>
    <t>Servicio de crédito</t>
  </si>
  <si>
    <t>Gastos de personal beneficio a empleados</t>
  </si>
  <si>
    <t>Deterioro cartera</t>
  </si>
  <si>
    <t>Saldo al inicio del año</t>
  </si>
  <si>
    <t>GABRIEL RINCÓN PARDO</t>
  </si>
  <si>
    <t xml:space="preserve">     (VER DICTAMEN ADJUNTO)</t>
  </si>
  <si>
    <t xml:space="preserve">          Revisor Fiscal</t>
  </si>
  <si>
    <t xml:space="preserve">       (VER CERTIFICACIÓN ADJUNTA)</t>
  </si>
  <si>
    <t xml:space="preserve">         (VER CERTIFICACIÓN ADJUNTA)</t>
  </si>
  <si>
    <t>Efectivo y equivalente al Efectivo</t>
  </si>
  <si>
    <t>Servicio de Crédito</t>
  </si>
  <si>
    <t>Servicios Públicos</t>
  </si>
  <si>
    <t>A DISPOSICIÓN DE LA ASAMBLEA</t>
  </si>
  <si>
    <t xml:space="preserve">Incrementos año </t>
  </si>
  <si>
    <t xml:space="preserve">Disminuciones año </t>
  </si>
  <si>
    <t xml:space="preserve"> Aumentos  año </t>
  </si>
  <si>
    <t xml:space="preserve"> Aumento  año  </t>
  </si>
  <si>
    <t xml:space="preserve"> Aumento  año </t>
  </si>
  <si>
    <t>Las notas del 1 al 15 hacen parte integrante de los Estados Financieros.</t>
  </si>
  <si>
    <t xml:space="preserve">               VER DICTAMEN ADJUNTO</t>
  </si>
  <si>
    <t xml:space="preserve">  Revisor Fiscal</t>
  </si>
  <si>
    <t xml:space="preserve">  FONDO DE AMORTIZACIÓN DE APORTES</t>
  </si>
  <si>
    <t xml:space="preserve">   RESERVA PROTECCIÓN APORTES SOCIALES </t>
  </si>
  <si>
    <t xml:space="preserve">           GABRIEL RINCÓN  PARDO</t>
  </si>
  <si>
    <t xml:space="preserve"> Disminución año </t>
  </si>
  <si>
    <t>HOJA DE TRABAJO PARA CONCILIAR FLUJO DE EFECTIVO</t>
  </si>
  <si>
    <t>( EN PESOS COLOMBIANOS)</t>
  </si>
  <si>
    <r>
      <t>ACTIVO</t>
    </r>
    <r>
      <rPr>
        <sz val="12"/>
        <rFont val="Verdana"/>
        <family val="2"/>
      </rPr>
      <t xml:space="preserve"> -</t>
    </r>
  </si>
  <si>
    <r>
      <t xml:space="preserve">ACTIVO </t>
    </r>
    <r>
      <rPr>
        <sz val="12"/>
        <rFont val="Verdana"/>
        <family val="2"/>
      </rPr>
      <t>+</t>
    </r>
  </si>
  <si>
    <r>
      <t xml:space="preserve">PASIVO </t>
    </r>
    <r>
      <rPr>
        <sz val="12"/>
        <rFont val="Verdana"/>
        <family val="2"/>
      </rPr>
      <t>+</t>
    </r>
  </si>
  <si>
    <r>
      <t>PASIVO</t>
    </r>
    <r>
      <rPr>
        <sz val="12"/>
        <rFont val="Verdana"/>
        <family val="2"/>
      </rPr>
      <t xml:space="preserve"> -</t>
    </r>
  </si>
  <si>
    <t>AJUSTES</t>
  </si>
  <si>
    <t>VARIACION</t>
  </si>
  <si>
    <t>FUENTE</t>
  </si>
  <si>
    <t>USO</t>
  </si>
  <si>
    <t>DEBITOS</t>
  </si>
  <si>
    <t>CREDITOS</t>
  </si>
  <si>
    <t>Provision Cartera</t>
  </si>
  <si>
    <t>Deudores patronales</t>
  </si>
  <si>
    <t xml:space="preserve">Cuenta por cobrar </t>
  </si>
  <si>
    <t>Depreciacion Acumuladas</t>
  </si>
  <si>
    <t>Cuenta por pagar asociados</t>
  </si>
  <si>
    <t>Impuestos, gravámenes y tasas</t>
  </si>
  <si>
    <t>Otras Cuenta Por Pagar</t>
  </si>
  <si>
    <t>Pasivos estimados y Provisiones</t>
  </si>
  <si>
    <t>Reserva Proteccion Aportes</t>
  </si>
  <si>
    <t>Reserva y Fondos Especiales</t>
  </si>
  <si>
    <t>Fondo Sociales capitalizados</t>
  </si>
  <si>
    <t>Fondo Amortización de Aportes</t>
  </si>
  <si>
    <t>AJ X INFL. INVERSIONES</t>
  </si>
  <si>
    <t>AJ X INFL. PROP. PL Y EQUIPO</t>
  </si>
  <si>
    <t>AJ X INFL. INTANGIBLES</t>
  </si>
  <si>
    <t>AJ X INFL. ACTIVOS DIFERIDOS</t>
  </si>
  <si>
    <t>AJ X INFL. PATRIMONIO</t>
  </si>
  <si>
    <t>AJ X INFL. DEP. ACUMULADA</t>
  </si>
  <si>
    <t>DEPRECIACION</t>
  </si>
  <si>
    <t>AJUSTE DISTRIBUCION UTILIDADES</t>
  </si>
  <si>
    <t>AMORTIZACION DIFERIDOS</t>
  </si>
  <si>
    <t>PROVISION</t>
  </si>
  <si>
    <t>TOTAL ACTIVOS</t>
  </si>
  <si>
    <t>TOTAL PASIVOS</t>
  </si>
  <si>
    <t>DIFERENCIAS</t>
  </si>
  <si>
    <t>Efectivo y Equivalente al Efectivo</t>
  </si>
  <si>
    <t>Cuentas por cobrar intereses</t>
  </si>
  <si>
    <t>Otros Activos</t>
  </si>
  <si>
    <t>VARIACION R</t>
  </si>
  <si>
    <t>DICIEMBRE 2019</t>
  </si>
  <si>
    <t xml:space="preserve">Inversiones </t>
  </si>
  <si>
    <t xml:space="preserve">   (+)  Provisiones</t>
  </si>
  <si>
    <t xml:space="preserve">   (+)  Apropiación de fondos sociales</t>
  </si>
  <si>
    <t xml:space="preserve">   (+)  Recuperaciones</t>
  </si>
  <si>
    <t xml:space="preserve">         equivalentes de efectivo</t>
  </si>
  <si>
    <t>Deterioro deudores largo plazo</t>
  </si>
  <si>
    <t>TOTAL OTROS ACTIVOS FINANCIEROS</t>
  </si>
  <si>
    <t>DEPÓSITOS A CORTO PLAZO, CLASIFICADOS COMO EQ</t>
  </si>
  <si>
    <t>CDT Banco Pichincha Corto Plazo</t>
  </si>
  <si>
    <t>CDT Banco GNB Sudameris Corto Plazo</t>
  </si>
  <si>
    <t>CDT Banco de Bogota Largo Plazo</t>
  </si>
  <si>
    <t>CONVENIOS POR COBRAR</t>
  </si>
  <si>
    <t>MEDICINA PREPAGADA</t>
  </si>
  <si>
    <t>Servicio de Medicina Integral</t>
  </si>
  <si>
    <t>SERVICIOS FUNERARIOS</t>
  </si>
  <si>
    <t>Póliza Exequial Jardines de Paz</t>
  </si>
  <si>
    <t>OTROS CONVENIOS</t>
  </si>
  <si>
    <t>Poliza Hogar Colectivo</t>
  </si>
  <si>
    <t>ANTICIPO DE IMPUESTOS</t>
  </si>
  <si>
    <t>RETENCIÓN EN LA FUENTE</t>
  </si>
  <si>
    <t>Retención en la fuente Rendimientos</t>
  </si>
  <si>
    <t>Provision Inmueble Dacion de Pago</t>
  </si>
  <si>
    <t>DETERIORO PROPIEDAD, PLANTA Y EQUIPO (CR)</t>
  </si>
  <si>
    <t>Provision Inmuebles Dacion de Pago</t>
  </si>
  <si>
    <t>Honorarios 11%</t>
  </si>
  <si>
    <t>Avisos y Tableros</t>
  </si>
  <si>
    <t>Aportes a A.R.L.</t>
  </si>
  <si>
    <t>Consignaciones Pendientes de Identificar</t>
  </si>
  <si>
    <t>PROVISIONES</t>
  </si>
  <si>
    <t>OTRAS PROVISIONES</t>
  </si>
  <si>
    <t>Provisión Bonos Anuales</t>
  </si>
  <si>
    <t>Rendimientos Fiducias</t>
  </si>
  <si>
    <t>EN INVERSIONES NEGOCIABLES EN TÍTULOS PARTICI</t>
  </si>
  <si>
    <t>Revalorización Acciones Ecopetrol</t>
  </si>
  <si>
    <t>Retorno de Proveedores</t>
  </si>
  <si>
    <t>Revalorización de aportes Cincop</t>
  </si>
  <si>
    <t>Recuperación Deterioro Consumo</t>
  </si>
  <si>
    <t>Recuperación Créditos de Consumo Castigados</t>
  </si>
  <si>
    <t>DE INTERESES CREDITOS DE CONSUMO</t>
  </si>
  <si>
    <t>Intereses de Créditos de Consumo Periodo Grac</t>
  </si>
  <si>
    <t>Recuperación Intereses Créditos Castigados</t>
  </si>
  <si>
    <t>Recuperación Deterioro Intereses Consumo</t>
  </si>
  <si>
    <t>GASTOS MEDICOS Y MEDICAMENTOS</t>
  </si>
  <si>
    <t>Examen Medico de Ingreso o Retiro</t>
  </si>
  <si>
    <t>Servicios Administrativos en Oficinas</t>
  </si>
  <si>
    <t>Internet</t>
  </si>
  <si>
    <t>Internet Dedicado</t>
  </si>
  <si>
    <t>Comite de Educación</t>
  </si>
  <si>
    <t>Aviso en Prensa</t>
  </si>
  <si>
    <t>Deterioro Créditos Consumo</t>
  </si>
  <si>
    <t>Ajuste de Capital Cierre de Cartera</t>
  </si>
  <si>
    <t>Deterioro Intereses Consumo</t>
  </si>
  <si>
    <t>Deterioro Rendimientos Fiducia</t>
  </si>
  <si>
    <t>Iva Servicios Bancarios</t>
  </si>
  <si>
    <t>Provision Garantia Creditos de Consumo</t>
  </si>
  <si>
    <t>Acreedoras Contingentes por contra</t>
  </si>
  <si>
    <t>DIC.2021</t>
  </si>
  <si>
    <t>PROPUESTA DE DISTRIBUCIÓN DE EXCEDENTES PRESENTADA POR EL CONSEJO DE ADMINISTRACIÓN EN REUNIÓN DEL 14 DE FEBRERO DE 2022, ACTA N° 109 - 2022, PARA APROBACIÓN DE LA ASAMBLEA GENERAL ORDINARIA DE ASOCIADOS DEL 2022</t>
  </si>
  <si>
    <t xml:space="preserve">   (+)  Depreciación de propiedades, planta y equipo</t>
  </si>
  <si>
    <t xml:space="preserve">   (+)  Amortización de gastos pagados por anticipado</t>
  </si>
  <si>
    <t xml:space="preserve">   (+)  Amortizacion de diferidos</t>
  </si>
  <si>
    <t xml:space="preserve">         Cartera de créditos</t>
  </si>
  <si>
    <t xml:space="preserve">         Cuenta intereses</t>
  </si>
  <si>
    <t xml:space="preserve">         Otros activos</t>
  </si>
  <si>
    <t xml:space="preserve">         Cuentas por  cobrar</t>
  </si>
  <si>
    <t xml:space="preserve">         Otras cuentas por cobrar</t>
  </si>
  <si>
    <t xml:space="preserve">         Ex asociados retiros</t>
  </si>
  <si>
    <t xml:space="preserve">         Fondos sociales</t>
  </si>
  <si>
    <t xml:space="preserve">         Otras cuentas por pagar</t>
  </si>
  <si>
    <t xml:space="preserve">         Pasivos estimados</t>
  </si>
  <si>
    <t xml:space="preserve">         Disminución utilidades</t>
  </si>
  <si>
    <t xml:space="preserve">         Adquisición propiedades, planta y equipo</t>
  </si>
  <si>
    <t xml:space="preserve">         Aumento de aportes sociales</t>
  </si>
  <si>
    <t xml:space="preserve">         Aumento (disminución fondos)</t>
  </si>
  <si>
    <t xml:space="preserve">         Aumento (disminución) neto en efectivo y </t>
  </si>
  <si>
    <t xml:space="preserve">                       GABRIEL  RINCÓN  PARDO</t>
  </si>
  <si>
    <t>Método indirecto</t>
  </si>
  <si>
    <t xml:space="preserve">Excedente o  pérdida  neta del ejercicio </t>
  </si>
  <si>
    <t xml:space="preserve">                                                                     VER CERTIFICACIÓN ADJUNTA</t>
  </si>
  <si>
    <t xml:space="preserve">  Año terminado el </t>
  </si>
  <si>
    <t>31 de diciembre de</t>
  </si>
  <si>
    <t xml:space="preserve">Año terminado a </t>
  </si>
  <si>
    <t xml:space="preserve">        Contadora</t>
  </si>
  <si>
    <t xml:space="preserve">   Contadora</t>
  </si>
  <si>
    <t>Bco. Bogota Cta Cte 10700315-4</t>
  </si>
  <si>
    <t>Bco. Bogota Cta Cte Exenta 10700754-4</t>
  </si>
  <si>
    <t>Bco. Bogotá Servicios Cta Aho 10703097-5</t>
  </si>
  <si>
    <t>CDT Banco GNB sudameris corto plazo</t>
  </si>
  <si>
    <t>Deterioro Consumo Otras Garantías Categoría B</t>
  </si>
  <si>
    <t>Deterioro Consumo Otras Garantías Categoría C</t>
  </si>
  <si>
    <t>Deterioro Consumo Otras Garantías Categoría D</t>
  </si>
  <si>
    <t>Deterioro Consumo Otras Garantías Categoría E</t>
  </si>
  <si>
    <t>Deterioro Consumo Categoria C</t>
  </si>
  <si>
    <t>Deterioro Consumo Categoria D</t>
  </si>
  <si>
    <t>Deterioro Consumo Categoria E</t>
  </si>
  <si>
    <t>Deterioro otros conceptos créditos consumo</t>
  </si>
  <si>
    <t>Deterioro general Créditos con Libranza</t>
  </si>
  <si>
    <t>Equipos, Muebles y Enseres en Almacen</t>
  </si>
  <si>
    <t>COSTOS Y GASTOS POR PAGAR</t>
  </si>
  <si>
    <t>Otras cuenta por pagar actividades bienestar</t>
  </si>
  <si>
    <t>NACIONALES</t>
  </si>
  <si>
    <t>Proveedores Nacionales</t>
  </si>
  <si>
    <t>Honorarios 3.5%</t>
  </si>
  <si>
    <t>Fondo de solidaridad pensional</t>
  </si>
  <si>
    <t>Prima de servicios</t>
  </si>
  <si>
    <t>Provision auxilio anual</t>
  </si>
  <si>
    <t>Aniversario coopbenecun</t>
  </si>
  <si>
    <t>DE PAGO POR CUENTA DE ASOCIADOS - CREDITOS DE</t>
  </si>
  <si>
    <t>Intereses de credito de consumo - P gracia</t>
  </si>
  <si>
    <t>Otros conceptos de credito - P gracia</t>
  </si>
  <si>
    <t>DE ACTIVOS NO CORRIENTES MANTENIDOS PARA LA V</t>
  </si>
  <si>
    <t>Recuperacion deterioro AF</t>
  </si>
  <si>
    <t>ADMINISTRATIVOS Y SOCIALES</t>
  </si>
  <si>
    <t>INCAPACIDADES</t>
  </si>
  <si>
    <t>Incapacidades</t>
  </si>
  <si>
    <t>Soporte tecnico de sistemas - LINIX</t>
  </si>
  <si>
    <t>Acueducto, alcantarillado y aseo</t>
  </si>
  <si>
    <t>Envios y correspondencia</t>
  </si>
  <si>
    <t>Comite de apelaciones</t>
  </si>
  <si>
    <t>Sistematizacion - software</t>
  </si>
  <si>
    <t>Aniversario Coopbenecun</t>
  </si>
  <si>
    <t>Gastos varios</t>
  </si>
  <si>
    <t>ADMINISTRACION CASA BOSA</t>
  </si>
  <si>
    <t>Ajuste al peso aproximaciones</t>
  </si>
  <si>
    <t>Gastos bancarios - comisiones</t>
  </si>
  <si>
    <t>Gravamen Movimientos Financieros</t>
  </si>
  <si>
    <t>IMPUESTOS ASUMIDOS</t>
  </si>
  <si>
    <t>Impuestos Asumidos</t>
  </si>
  <si>
    <t>EXCEDENTES   A  DICIEMBRE  31  2022</t>
  </si>
  <si>
    <t>APORTES DICIEMBRE 31 2022</t>
  </si>
  <si>
    <t>Bonos  fin de año</t>
  </si>
  <si>
    <t>Las notas de la 1 a la 14  hacen parte integrante de los Estados Financieros.</t>
  </si>
  <si>
    <t>Las notas de la  1 a la  14  hacen parte integrante de los Estados Financieros.</t>
  </si>
  <si>
    <t xml:space="preserve">              T. P. N° 7187-T</t>
  </si>
  <si>
    <t>TATIANA RICARDO HERNÁNDEZ</t>
  </si>
  <si>
    <t xml:space="preserve">      T. P. N° 209318-T</t>
  </si>
  <si>
    <t xml:space="preserve">     ÉDGAR  ESCOBAR  ORTIZ</t>
  </si>
  <si>
    <t xml:space="preserve">   T. P. N° 7187-T</t>
  </si>
  <si>
    <t xml:space="preserve">              T. P. N° 209318-T</t>
  </si>
  <si>
    <t>ÉDGAR  ESCOBAR  ORTIZ</t>
  </si>
  <si>
    <t xml:space="preserve">                                  T. P. N° 7187 -T</t>
  </si>
  <si>
    <t xml:space="preserve">                                                       TATIANA RICARDO HERNÁNDEZ</t>
  </si>
  <si>
    <t xml:space="preserve">                                                                               Contadora</t>
  </si>
  <si>
    <t xml:space="preserve">                                                                          T. P. N° 209318-T</t>
  </si>
  <si>
    <t xml:space="preserve">                           VER DICTAMEN ADJUNTO</t>
  </si>
  <si>
    <t>Con corte al 31 de diciembre de 2022 - 2021</t>
  </si>
  <si>
    <t xml:space="preserve"> Saldo al inicio del año </t>
  </si>
  <si>
    <t>(Valores expresados en pesos ($) colombianos)</t>
  </si>
  <si>
    <t>Por el periodo comprendido entre el 1 de enero al 31 de diciembre de 2022 y 2021</t>
  </si>
  <si>
    <t xml:space="preserve"> EXCEDENTES  DEL PRESENTE EJERCICIO</t>
  </si>
  <si>
    <t xml:space="preserve"> Distribución  de excedentes</t>
  </si>
  <si>
    <t xml:space="preserve"> excedente del ejercicio</t>
  </si>
  <si>
    <t>Las notas de la 1 a la  14  hacen parte integrante de los Estados Financieros.</t>
  </si>
  <si>
    <t>ORIGINAL FIRMADO</t>
  </si>
  <si>
    <t xml:space="preserve">          ORIGINAL FIRMADO</t>
  </si>
  <si>
    <t xml:space="preserve">       ORIGINAL FIRMADO</t>
  </si>
  <si>
    <t xml:space="preserve">            ORIGINAL FIRMADO</t>
  </si>
  <si>
    <t xml:space="preserve">VER CERTIFICACIÓN ADJUNTA                                    </t>
  </si>
  <si>
    <t xml:space="preserve">                                                                                                          ORIGINAL FIRMADO</t>
  </si>
  <si>
    <t xml:space="preserve">                                        ORIGINAL FIRMADO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</si>
</sst>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\ * #,##0_);_(&quot;$&quot;\ * \(#,##0\);_(&quot;$&quot;\ * &quot;-&quot;_);_(@_)"/>
    <numFmt numFmtId="171" formatCode="_(* #,##0_);_(* \(#,##0\);_(* &quot;-&quot;_);_(@_)"/>
    <numFmt numFmtId="172" formatCode="_ * #,##0.00_ ;_ * \-#,##0.00_ ;_ * &quot;-&quot;??_ ;_ @_ "/>
    <numFmt numFmtId="173" formatCode="\$#,##0\ ;\(\$#,##0\)"/>
    <numFmt numFmtId="174" formatCode="\$#,##0.00\ ;\(\$#,##0.00\)"/>
    <numFmt numFmtId="175" formatCode="#,##0.0"/>
    <numFmt numFmtId="176" formatCode="_(* #,##0_);_(* \(#,##0\);_(* &quot;-&quot;??_);_(@_)"/>
    <numFmt numFmtId="177" formatCode="_ * #,##0_ ;_ * \-#,##0_ ;_ * &quot;-&quot;??_ ;_ @_ "/>
    <numFmt numFmtId="178" formatCode="\(0\)"/>
    <numFmt numFmtId="179" formatCode="#,##0.0000"/>
    <numFmt numFmtId="180" formatCode="_(* #,##0.00_);_(* \(#,##0.00\);_(* &quot;-&quot;_);_(@_)"/>
    <numFmt numFmtId="181" formatCode="_(* #,##0.00_);_(* \(#,##0.00\);_(* &quot;-&quot;??_);_(@_)"/>
    <numFmt numFmtId="182" formatCode="#,##0_ ;[Red]\-#,##0\ "/>
    <numFmt numFmtId="183" formatCode="[$-240A]dddd\,\ dd&quot; de &quot;mmmm&quot; de &quot;yyyy"/>
    <numFmt numFmtId="184" formatCode="[$-240A]h:mm:ss\ AM/PM"/>
    <numFmt numFmtId="185" formatCode="0.0%"/>
    <numFmt numFmtId="186" formatCode="0.0"/>
    <numFmt numFmtId="187" formatCode="#,##0_ ;\-#,##0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[$$-240A]* #,##0.00_-;\-[$$-240A]* #,##0.00_-;_-[$$-240A]* &quot;-&quot;??_-;_-@_-"/>
    <numFmt numFmtId="193" formatCode="_-[$$-240A]* #,##0.0_-;\-[$$-240A]* #,##0.0_-;_-[$$-240A]* &quot;-&quot;??_-;_-@_-"/>
    <numFmt numFmtId="194" formatCode="_-[$$-240A]* #,##0_-;\-[$$-240A]* #,##0_-;_-[$$-240A]* &quot;-&quot;??_-;_-@_-"/>
    <numFmt numFmtId="195" formatCode="\$#,##0.0\ ;\(\$#,##0.0\)"/>
    <numFmt numFmtId="196" formatCode="_-* #,##0.00_-;\-* #,##0.00_-;_-* &quot;-&quot;_-;_-@_-"/>
  </numFmts>
  <fonts count="81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Broadway"/>
      <family val="5"/>
    </font>
    <font>
      <sz val="10"/>
      <color indexed="24"/>
      <name val="Verdana"/>
      <family val="2"/>
    </font>
    <font>
      <sz val="9"/>
      <color indexed="24"/>
      <name val="Verdana"/>
      <family val="2"/>
    </font>
    <font>
      <sz val="10"/>
      <name val="Book Antiqua"/>
      <family val="1"/>
    </font>
    <font>
      <sz val="12"/>
      <name val="Verdana"/>
      <family val="2"/>
    </font>
    <font>
      <sz val="6"/>
      <name val="Verdana"/>
      <family val="2"/>
    </font>
    <font>
      <b/>
      <sz val="10"/>
      <name val="Broadway"/>
      <family val="5"/>
    </font>
    <font>
      <sz val="11"/>
      <color indexed="2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6.5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4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81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9" fillId="31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10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543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7" fillId="0" borderId="0" xfId="37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0" xfId="37" applyNumberFormat="1" applyFont="1" applyFill="1" applyBorder="1" applyAlignment="1">
      <alignment horizontal="right"/>
    </xf>
    <xf numFmtId="3" fontId="10" fillId="0" borderId="0" xfId="37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37" applyFont="1" applyFill="1" applyAlignment="1">
      <alignment/>
    </xf>
    <xf numFmtId="3" fontId="1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78" fontId="7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right"/>
    </xf>
    <xf numFmtId="178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8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3" fontId="10" fillId="0" borderId="14" xfId="37" applyNumberFormat="1" applyFont="1" applyFill="1" applyBorder="1" applyAlignment="1">
      <alignment horizontal="right"/>
    </xf>
    <xf numFmtId="3" fontId="7" fillId="0" borderId="20" xfId="37" applyNumberFormat="1" applyFont="1" applyFill="1" applyBorder="1" applyAlignment="1">
      <alignment horizontal="right"/>
    </xf>
    <xf numFmtId="3" fontId="7" fillId="0" borderId="14" xfId="37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4" fillId="0" borderId="0" xfId="37" applyFont="1" applyFill="1" applyBorder="1" applyAlignment="1">
      <alignment/>
    </xf>
    <xf numFmtId="3" fontId="14" fillId="0" borderId="14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/>
    </xf>
    <xf numFmtId="0" fontId="10" fillId="0" borderId="13" xfId="65" applyFont="1" applyFill="1" applyBorder="1">
      <alignment/>
      <protection/>
    </xf>
    <xf numFmtId="0" fontId="15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78" fontId="14" fillId="0" borderId="16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10" fillId="0" borderId="14" xfId="37" applyFont="1" applyFill="1" applyBorder="1" applyAlignment="1">
      <alignment horizontal="right"/>
    </xf>
    <xf numFmtId="175" fontId="14" fillId="0" borderId="14" xfId="0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/>
    </xf>
    <xf numFmtId="3" fontId="14" fillId="0" borderId="16" xfId="37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/>
    </xf>
    <xf numFmtId="3" fontId="7" fillId="0" borderId="21" xfId="37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center"/>
    </xf>
    <xf numFmtId="17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178" fontId="10" fillId="0" borderId="24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center"/>
    </xf>
    <xf numFmtId="3" fontId="10" fillId="0" borderId="24" xfId="37" applyNumberFormat="1" applyFont="1" applyFill="1" applyBorder="1" applyAlignment="1">
      <alignment horizontal="right"/>
    </xf>
    <xf numFmtId="3" fontId="10" fillId="0" borderId="25" xfId="37" applyNumberFormat="1" applyFont="1" applyFill="1" applyBorder="1" applyAlignment="1">
      <alignment horizontal="right"/>
    </xf>
    <xf numFmtId="0" fontId="17" fillId="0" borderId="26" xfId="65" applyFont="1" applyFill="1" applyBorder="1">
      <alignment/>
      <protection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174" fontId="10" fillId="0" borderId="12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left"/>
    </xf>
    <xf numFmtId="3" fontId="10" fillId="0" borderId="29" xfId="37" applyNumberFormat="1" applyFont="1" applyFill="1" applyBorder="1" applyAlignment="1">
      <alignment horizontal="right"/>
    </xf>
    <xf numFmtId="0" fontId="17" fillId="0" borderId="30" xfId="65" applyFont="1" applyFill="1" applyBorder="1">
      <alignment/>
      <protection/>
    </xf>
    <xf numFmtId="0" fontId="17" fillId="0" borderId="30" xfId="0" applyFont="1" applyFill="1" applyBorder="1" applyAlignment="1">
      <alignment horizontal="left"/>
    </xf>
    <xf numFmtId="3" fontId="7" fillId="0" borderId="27" xfId="37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/>
    </xf>
    <xf numFmtId="178" fontId="10" fillId="0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center"/>
    </xf>
    <xf numFmtId="175" fontId="10" fillId="0" borderId="22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10" fillId="0" borderId="27" xfId="37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178" fontId="8" fillId="0" borderId="29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4" fontId="10" fillId="0" borderId="31" xfId="54" applyFont="1" applyBorder="1" applyAlignment="1">
      <alignment horizontal="right"/>
    </xf>
    <xf numFmtId="4" fontId="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32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74" fontId="10" fillId="0" borderId="11" xfId="6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174" fontId="10" fillId="33" borderId="11" xfId="60" applyFont="1" applyFill="1" applyBorder="1" applyAlignment="1">
      <alignment horizontal="right"/>
    </xf>
    <xf numFmtId="0" fontId="19" fillId="0" borderId="24" xfId="0" applyFont="1" applyBorder="1" applyAlignment="1">
      <alignment horizontal="centerContinuous"/>
    </xf>
    <xf numFmtId="17" fontId="19" fillId="0" borderId="24" xfId="0" applyNumberFormat="1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16" fillId="0" borderId="34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36" xfId="0" applyBorder="1" applyAlignment="1">
      <alignment/>
    </xf>
    <xf numFmtId="0" fontId="16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 horizontal="center"/>
    </xf>
    <xf numFmtId="4" fontId="0" fillId="0" borderId="35" xfId="60" applyNumberFormat="1" applyFont="1" applyBorder="1" applyAlignment="1">
      <alignment/>
    </xf>
    <xf numFmtId="4" fontId="0" fillId="0" borderId="38" xfId="6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4" fontId="1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0" xfId="54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8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4" fontId="0" fillId="0" borderId="0" xfId="54" applyFont="1" applyAlignment="1">
      <alignment/>
    </xf>
    <xf numFmtId="4" fontId="0" fillId="0" borderId="0" xfId="54" applyNumberFormat="1" applyFont="1" applyAlignment="1">
      <alignment/>
    </xf>
    <xf numFmtId="0" fontId="10" fillId="0" borderId="44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16" fillId="33" borderId="44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3" fontId="10" fillId="0" borderId="22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2" xfId="0" applyNumberFormat="1" applyFont="1" applyFill="1" applyBorder="1" applyAlignment="1">
      <alignment horizontal="right"/>
    </xf>
    <xf numFmtId="37" fontId="10" fillId="0" borderId="24" xfId="0" applyNumberFormat="1" applyFont="1" applyFill="1" applyBorder="1" applyAlignment="1">
      <alignment horizontal="right"/>
    </xf>
    <xf numFmtId="37" fontId="7" fillId="0" borderId="22" xfId="0" applyNumberFormat="1" applyFont="1" applyFill="1" applyBorder="1" applyAlignment="1">
      <alignment horizontal="center"/>
    </xf>
    <xf numFmtId="37" fontId="7" fillId="0" borderId="10" xfId="0" applyNumberFormat="1" applyFont="1" applyFill="1" applyBorder="1" applyAlignment="1">
      <alignment horizontal="right"/>
    </xf>
    <xf numFmtId="173" fontId="10" fillId="0" borderId="11" xfId="60" applyNumberFormat="1" applyFont="1" applyFill="1" applyBorder="1" applyAlignment="1">
      <alignment horizontal="right"/>
    </xf>
    <xf numFmtId="173" fontId="10" fillId="33" borderId="11" xfId="60" applyNumberFormat="1" applyFont="1" applyFill="1" applyBorder="1" applyAlignment="1">
      <alignment horizontal="right"/>
    </xf>
    <xf numFmtId="173" fontId="7" fillId="33" borderId="11" xfId="0" applyNumberFormat="1" applyFont="1" applyFill="1" applyBorder="1" applyAlignment="1">
      <alignment horizontal="center"/>
    </xf>
    <xf numFmtId="173" fontId="10" fillId="34" borderId="11" xfId="60" applyNumberFormat="1" applyFont="1" applyFill="1" applyBorder="1" applyAlignment="1">
      <alignment horizontal="right"/>
    </xf>
    <xf numFmtId="4" fontId="6" fillId="0" borderId="0" xfId="54" applyFont="1" applyBorder="1" applyAlignment="1">
      <alignment/>
    </xf>
    <xf numFmtId="10" fontId="20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2" xfId="0" applyFont="1" applyBorder="1" applyAlignment="1">
      <alignment/>
    </xf>
    <xf numFmtId="0" fontId="16" fillId="0" borderId="4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18" fillId="35" borderId="42" xfId="54" applyNumberFormat="1" applyFont="1" applyFill="1" applyBorder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60" applyFont="1" applyBorder="1" applyAlignment="1">
      <alignment/>
    </xf>
    <xf numFmtId="174" fontId="0" fillId="0" borderId="35" xfId="60" applyFont="1" applyBorder="1" applyAlignment="1">
      <alignment/>
    </xf>
    <xf numFmtId="4" fontId="0" fillId="0" borderId="0" xfId="60" applyNumberFormat="1" applyFont="1" applyBorder="1" applyAlignment="1">
      <alignment/>
    </xf>
    <xf numFmtId="174" fontId="6" fillId="0" borderId="0" xfId="60" applyFont="1" applyBorder="1" applyAlignment="1">
      <alignment/>
    </xf>
    <xf numFmtId="174" fontId="6" fillId="0" borderId="35" xfId="60" applyFont="1" applyBorder="1" applyAlignment="1">
      <alignment/>
    </xf>
    <xf numFmtId="4" fontId="6" fillId="0" borderId="0" xfId="60" applyNumberFormat="1" applyFont="1" applyBorder="1" applyAlignment="1">
      <alignment/>
    </xf>
    <xf numFmtId="177" fontId="6" fillId="0" borderId="35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60" applyNumberFormat="1" applyFont="1" applyBorder="1" applyAlignment="1">
      <alignment/>
    </xf>
    <xf numFmtId="3" fontId="6" fillId="0" borderId="35" xfId="60" applyNumberFormat="1" applyFont="1" applyBorder="1" applyAlignment="1">
      <alignment/>
    </xf>
    <xf numFmtId="9" fontId="0" fillId="0" borderId="0" xfId="0" applyNumberFormat="1" applyFill="1" applyAlignment="1">
      <alignment/>
    </xf>
    <xf numFmtId="9" fontId="6" fillId="0" borderId="0" xfId="0" applyNumberFormat="1" applyFont="1" applyFill="1" applyAlignment="1">
      <alignment/>
    </xf>
    <xf numFmtId="180" fontId="6" fillId="0" borderId="0" xfId="55" applyNumberFormat="1" applyFont="1" applyAlignment="1">
      <alignment/>
    </xf>
    <xf numFmtId="9" fontId="6" fillId="0" borderId="0" xfId="0" applyNumberFormat="1" applyFont="1" applyBorder="1" applyAlignment="1">
      <alignment/>
    </xf>
    <xf numFmtId="171" fontId="0" fillId="0" borderId="0" xfId="55" applyFont="1" applyAlignment="1">
      <alignment/>
    </xf>
    <xf numFmtId="171" fontId="0" fillId="0" borderId="0" xfId="0" applyNumberFormat="1" applyAlignment="1">
      <alignment/>
    </xf>
    <xf numFmtId="10" fontId="7" fillId="33" borderId="11" xfId="69" applyFont="1" applyFill="1" applyBorder="1" applyAlignment="1">
      <alignment horizontal="center"/>
    </xf>
    <xf numFmtId="0" fontId="17" fillId="0" borderId="46" xfId="65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6" fillId="36" borderId="40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8" xfId="0" applyFill="1" applyBorder="1" applyAlignment="1">
      <alignment horizontal="center"/>
    </xf>
    <xf numFmtId="174" fontId="0" fillId="36" borderId="38" xfId="60" applyFont="1" applyFill="1" applyBorder="1" applyAlignment="1">
      <alignment/>
    </xf>
    <xf numFmtId="0" fontId="20" fillId="0" borderId="47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40" xfId="0" applyFont="1" applyBorder="1" applyAlignment="1">
      <alignment/>
    </xf>
    <xf numFmtId="0" fontId="22" fillId="0" borderId="3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/>
    </xf>
    <xf numFmtId="174" fontId="0" fillId="0" borderId="0" xfId="60" applyFont="1" applyFill="1" applyBorder="1" applyAlignment="1">
      <alignment/>
    </xf>
    <xf numFmtId="0" fontId="23" fillId="0" borderId="0" xfId="0" applyFont="1" applyAlignment="1">
      <alignment horizontal="justify"/>
    </xf>
    <xf numFmtId="10" fontId="6" fillId="0" borderId="11" xfId="69" applyFont="1" applyBorder="1" applyAlignment="1">
      <alignment/>
    </xf>
    <xf numFmtId="10" fontId="0" fillId="0" borderId="11" xfId="69" applyFont="1" applyBorder="1" applyAlignment="1">
      <alignment/>
    </xf>
    <xf numFmtId="173" fontId="7" fillId="33" borderId="11" xfId="60" applyNumberFormat="1" applyFont="1" applyFill="1" applyBorder="1" applyAlignment="1">
      <alignment horizontal="right"/>
    </xf>
    <xf numFmtId="10" fontId="16" fillId="33" borderId="11" xfId="0" applyNumberFormat="1" applyFont="1" applyFill="1" applyBorder="1" applyAlignment="1">
      <alignment/>
    </xf>
    <xf numFmtId="173" fontId="7" fillId="33" borderId="11" xfId="0" applyNumberFormat="1" applyFont="1" applyFill="1" applyBorder="1" applyAlignment="1">
      <alignment horizontal="right"/>
    </xf>
    <xf numFmtId="0" fontId="7" fillId="33" borderId="44" xfId="0" applyFont="1" applyFill="1" applyBorder="1" applyAlignment="1">
      <alignment horizontal="center"/>
    </xf>
    <xf numFmtId="10" fontId="16" fillId="33" borderId="11" xfId="69" applyFont="1" applyFill="1" applyBorder="1" applyAlignment="1">
      <alignment/>
    </xf>
    <xf numFmtId="0" fontId="0" fillId="37" borderId="0" xfId="0" applyFill="1" applyBorder="1" applyAlignment="1">
      <alignment/>
    </xf>
    <xf numFmtId="4" fontId="0" fillId="37" borderId="0" xfId="0" applyNumberForma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13" xfId="65" applyFont="1" applyBorder="1" applyAlignment="1">
      <alignment horizontal="left"/>
      <protection/>
    </xf>
    <xf numFmtId="0" fontId="9" fillId="0" borderId="0" xfId="65" applyFont="1" applyBorder="1" applyAlignment="1">
      <alignment horizontal="centerContinuous"/>
      <protection/>
    </xf>
    <xf numFmtId="176" fontId="8" fillId="0" borderId="0" xfId="65" applyNumberFormat="1" applyFont="1" applyBorder="1" applyAlignment="1">
      <alignment horizontal="centerContinuous"/>
      <protection/>
    </xf>
    <xf numFmtId="176" fontId="8" fillId="0" borderId="0" xfId="59" applyNumberFormat="1" applyFont="1" applyBorder="1" applyAlignment="1">
      <alignment horizontal="centerContinuous"/>
    </xf>
    <xf numFmtId="0" fontId="8" fillId="0" borderId="0" xfId="66" applyFont="1" applyBorder="1" applyAlignment="1">
      <alignment horizontal="center" vertical="top" wrapText="1"/>
      <protection/>
    </xf>
    <xf numFmtId="0" fontId="8" fillId="0" borderId="0" xfId="66" applyFont="1" applyBorder="1" applyAlignment="1">
      <alignment vertical="top" wrapText="1"/>
      <protection/>
    </xf>
    <xf numFmtId="0" fontId="8" fillId="0" borderId="19" xfId="66" applyFont="1" applyBorder="1" applyAlignment="1">
      <alignment horizontal="center" vertical="top" wrapText="1"/>
      <protection/>
    </xf>
    <xf numFmtId="1" fontId="8" fillId="0" borderId="0" xfId="59" applyNumberFormat="1" applyFont="1" applyBorder="1" applyAlignment="1">
      <alignment horizontal="center"/>
    </xf>
    <xf numFmtId="1" fontId="8" fillId="0" borderId="14" xfId="59" applyNumberFormat="1" applyFont="1" applyBorder="1" applyAlignment="1">
      <alignment horizontal="center"/>
    </xf>
    <xf numFmtId="1" fontId="8" fillId="0" borderId="0" xfId="59" applyNumberFormat="1" applyFont="1" applyBorder="1" applyAlignment="1">
      <alignment horizontal="right"/>
    </xf>
    <xf numFmtId="176" fontId="8" fillId="0" borderId="13" xfId="65" applyNumberFormat="1" applyFont="1" applyFill="1" applyBorder="1" applyAlignment="1">
      <alignment horizontal="left"/>
      <protection/>
    </xf>
    <xf numFmtId="176" fontId="8" fillId="0" borderId="0" xfId="65" applyNumberFormat="1" applyFont="1" applyFill="1" applyBorder="1">
      <alignment/>
      <protection/>
    </xf>
    <xf numFmtId="0" fontId="9" fillId="0" borderId="0" xfId="65" applyFont="1" applyFill="1" applyBorder="1">
      <alignment/>
      <protection/>
    </xf>
    <xf numFmtId="176" fontId="8" fillId="0" borderId="0" xfId="59" applyNumberFormat="1" applyFont="1" applyBorder="1" applyAlignment="1">
      <alignment horizontal="center"/>
    </xf>
    <xf numFmtId="176" fontId="8" fillId="0" borderId="0" xfId="65" applyNumberFormat="1" applyFont="1" applyBorder="1" applyAlignment="1">
      <alignment horizontal="justify"/>
      <protection/>
    </xf>
    <xf numFmtId="176" fontId="8" fillId="0" borderId="14" xfId="65" applyNumberFormat="1" applyFont="1" applyBorder="1" applyAlignment="1">
      <alignment horizontal="justify"/>
      <protection/>
    </xf>
    <xf numFmtId="176" fontId="9" fillId="0" borderId="0" xfId="65" applyNumberFormat="1" applyFont="1" applyBorder="1">
      <alignment/>
      <protection/>
    </xf>
    <xf numFmtId="0" fontId="9" fillId="0" borderId="0" xfId="65" applyFont="1" applyBorder="1">
      <alignment/>
      <protection/>
    </xf>
    <xf numFmtId="3" fontId="9" fillId="0" borderId="0" xfId="59" applyNumberFormat="1" applyFont="1" applyBorder="1" applyAlignment="1">
      <alignment horizontal="right"/>
    </xf>
    <xf numFmtId="3" fontId="9" fillId="0" borderId="14" xfId="59" applyNumberFormat="1" applyFont="1" applyBorder="1" applyAlignment="1">
      <alignment horizontal="right"/>
    </xf>
    <xf numFmtId="3" fontId="9" fillId="0" borderId="22" xfId="59" applyNumberFormat="1" applyFont="1" applyBorder="1" applyAlignment="1">
      <alignment horizontal="right"/>
    </xf>
    <xf numFmtId="3" fontId="9" fillId="0" borderId="27" xfId="59" applyNumberFormat="1" applyFont="1" applyBorder="1" applyAlignment="1">
      <alignment horizontal="right"/>
    </xf>
    <xf numFmtId="176" fontId="8" fillId="0" borderId="0" xfId="65" applyNumberFormat="1" applyFont="1" applyBorder="1">
      <alignment/>
      <protection/>
    </xf>
    <xf numFmtId="0" fontId="25" fillId="0" borderId="0" xfId="0" applyFont="1" applyBorder="1" applyAlignment="1">
      <alignment/>
    </xf>
    <xf numFmtId="176" fontId="9" fillId="0" borderId="0" xfId="59" applyNumberFormat="1" applyFont="1" applyBorder="1" applyAlignment="1">
      <alignment horizontal="center"/>
    </xf>
    <xf numFmtId="3" fontId="8" fillId="0" borderId="12" xfId="59" applyNumberFormat="1" applyFont="1" applyBorder="1" applyAlignment="1">
      <alignment horizontal="right"/>
    </xf>
    <xf numFmtId="3" fontId="8" fillId="0" borderId="0" xfId="59" applyNumberFormat="1" applyFont="1" applyBorder="1" applyAlignment="1">
      <alignment horizontal="right"/>
    </xf>
    <xf numFmtId="3" fontId="8" fillId="0" borderId="20" xfId="59" applyNumberFormat="1" applyFont="1" applyBorder="1" applyAlignment="1">
      <alignment horizontal="right"/>
    </xf>
    <xf numFmtId="3" fontId="8" fillId="0" borderId="14" xfId="59" applyNumberFormat="1" applyFont="1" applyBorder="1" applyAlignment="1">
      <alignment horizontal="right"/>
    </xf>
    <xf numFmtId="176" fontId="9" fillId="0" borderId="0" xfId="59" applyNumberFormat="1" applyFont="1" applyFill="1" applyBorder="1" applyAlignment="1">
      <alignment horizontal="center"/>
    </xf>
    <xf numFmtId="176" fontId="9" fillId="0" borderId="0" xfId="59" applyNumberFormat="1" applyFont="1" applyBorder="1" applyAlignment="1">
      <alignment horizontal="right"/>
    </xf>
    <xf numFmtId="176" fontId="9" fillId="0" borderId="14" xfId="59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3" fontId="8" fillId="0" borderId="35" xfId="65" applyNumberFormat="1" applyFont="1" applyBorder="1" applyAlignment="1">
      <alignment horizontal="right"/>
      <protection/>
    </xf>
    <xf numFmtId="3" fontId="8" fillId="0" borderId="0" xfId="65" applyNumberFormat="1" applyFont="1" applyBorder="1" applyAlignment="1">
      <alignment horizontal="right"/>
      <protection/>
    </xf>
    <xf numFmtId="3" fontId="8" fillId="0" borderId="48" xfId="65" applyNumberFormat="1" applyFont="1" applyBorder="1" applyAlignment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0" borderId="0" xfId="66" applyFont="1">
      <alignment/>
      <protection/>
    </xf>
    <xf numFmtId="0" fontId="27" fillId="0" borderId="0" xfId="66" applyFont="1">
      <alignment/>
      <protection/>
    </xf>
    <xf numFmtId="0" fontId="12" fillId="0" borderId="18" xfId="66" applyFont="1" applyBorder="1" applyAlignment="1">
      <alignment horizontal="center"/>
      <protection/>
    </xf>
    <xf numFmtId="0" fontId="12" fillId="0" borderId="9" xfId="66" applyFont="1" applyBorder="1" applyAlignment="1">
      <alignment horizontal="center"/>
      <protection/>
    </xf>
    <xf numFmtId="0" fontId="12" fillId="0" borderId="19" xfId="66" applyFont="1" applyBorder="1" applyAlignment="1">
      <alignment horizontal="center"/>
      <protection/>
    </xf>
    <xf numFmtId="0" fontId="28" fillId="0" borderId="13" xfId="66" applyFont="1" applyBorder="1" applyAlignment="1">
      <alignment horizontal="justify" vertical="top" wrapText="1"/>
      <protection/>
    </xf>
    <xf numFmtId="0" fontId="7" fillId="0" borderId="0" xfId="67" applyFont="1" applyBorder="1" applyAlignment="1">
      <alignment horizontal="center" vertical="top" wrapText="1"/>
      <protection/>
    </xf>
    <xf numFmtId="0" fontId="7" fillId="0" borderId="14" xfId="67" applyFont="1" applyBorder="1" applyAlignment="1">
      <alignment horizontal="center" vertical="top" wrapText="1"/>
      <protection/>
    </xf>
    <xf numFmtId="0" fontId="7" fillId="0" borderId="13" xfId="66" applyFont="1" applyFill="1" applyBorder="1" applyAlignment="1">
      <alignment horizontal="justify" vertical="top" wrapText="1"/>
      <protection/>
    </xf>
    <xf numFmtId="0" fontId="10" fillId="0" borderId="0" xfId="66" applyFont="1" applyBorder="1" applyAlignment="1">
      <alignment horizontal="center" vertical="top" wrapText="1"/>
      <protection/>
    </xf>
    <xf numFmtId="0" fontId="10" fillId="0" borderId="14" xfId="66" applyFont="1" applyBorder="1" applyAlignment="1">
      <alignment horizontal="center" vertical="top" wrapText="1"/>
      <protection/>
    </xf>
    <xf numFmtId="0" fontId="10" fillId="0" borderId="0" xfId="66" applyFont="1" applyAlignment="1">
      <alignment horizontal="center" vertical="top" wrapText="1"/>
      <protection/>
    </xf>
    <xf numFmtId="0" fontId="7" fillId="0" borderId="13" xfId="66" applyFont="1" applyBorder="1" applyAlignment="1">
      <alignment horizontal="justify" vertical="top" wrapText="1"/>
      <protection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66" applyFont="1" applyBorder="1" applyAlignment="1">
      <alignment horizontal="left" vertical="top" wrapText="1"/>
      <protection/>
    </xf>
    <xf numFmtId="3" fontId="10" fillId="0" borderId="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13" xfId="66" applyFont="1" applyBorder="1" applyAlignment="1">
      <alignment horizontal="justify" vertical="top" wrapText="1"/>
      <protection/>
    </xf>
    <xf numFmtId="3" fontId="27" fillId="0" borderId="0" xfId="66" applyNumberFormat="1" applyFont="1">
      <alignment/>
      <protection/>
    </xf>
    <xf numFmtId="176" fontId="7" fillId="0" borderId="2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27" xfId="0" applyNumberFormat="1" applyFont="1" applyBorder="1" applyAlignment="1">
      <alignment/>
    </xf>
    <xf numFmtId="176" fontId="6" fillId="0" borderId="0" xfId="66" applyNumberFormat="1" applyFont="1">
      <alignment/>
      <protection/>
    </xf>
    <xf numFmtId="176" fontId="10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3" fontId="10" fillId="0" borderId="0" xfId="54" applyNumberFormat="1" applyFont="1" applyAlignment="1">
      <alignment/>
    </xf>
    <xf numFmtId="176" fontId="27" fillId="0" borderId="0" xfId="66" applyNumberFormat="1" applyFont="1">
      <alignment/>
      <protection/>
    </xf>
    <xf numFmtId="3" fontId="10" fillId="0" borderId="0" xfId="54" applyNumberFormat="1" applyFont="1" applyFill="1" applyBorder="1" applyAlignment="1">
      <alignment/>
    </xf>
    <xf numFmtId="3" fontId="10" fillId="0" borderId="0" xfId="54" applyNumberFormat="1" applyFont="1" applyBorder="1" applyAlignment="1">
      <alignment/>
    </xf>
    <xf numFmtId="3" fontId="10" fillId="0" borderId="14" xfId="54" applyNumberFormat="1" applyFont="1" applyBorder="1" applyAlignment="1">
      <alignment/>
    </xf>
    <xf numFmtId="0" fontId="7" fillId="0" borderId="13" xfId="66" applyFont="1" applyBorder="1" applyAlignment="1">
      <alignment vertical="top" wrapText="1"/>
      <protection/>
    </xf>
    <xf numFmtId="176" fontId="7" fillId="0" borderId="12" xfId="0" applyNumberFormat="1" applyFont="1" applyBorder="1" applyAlignment="1">
      <alignment/>
    </xf>
    <xf numFmtId="176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10" fillId="0" borderId="13" xfId="66" applyFont="1" applyBorder="1">
      <alignment/>
      <protection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13" xfId="66" applyFont="1" applyBorder="1" applyAlignment="1">
      <alignment horizontal="justify"/>
      <protection/>
    </xf>
    <xf numFmtId="3" fontId="76" fillId="0" borderId="0" xfId="0" applyNumberFormat="1" applyFont="1" applyFill="1" applyBorder="1" applyAlignment="1">
      <alignment horizontal="center"/>
    </xf>
    <xf numFmtId="3" fontId="76" fillId="0" borderId="14" xfId="0" applyNumberFormat="1" applyFont="1" applyFill="1" applyBorder="1" applyAlignment="1">
      <alignment/>
    </xf>
    <xf numFmtId="0" fontId="77" fillId="0" borderId="14" xfId="0" applyFont="1" applyBorder="1" applyAlignment="1">
      <alignment/>
    </xf>
    <xf numFmtId="0" fontId="13" fillId="0" borderId="15" xfId="0" applyFont="1" applyFill="1" applyBorder="1" applyAlignment="1">
      <alignment/>
    </xf>
    <xf numFmtId="0" fontId="77" fillId="0" borderId="17" xfId="0" applyFont="1" applyBorder="1" applyAlignment="1">
      <alignment/>
    </xf>
    <xf numFmtId="0" fontId="7" fillId="0" borderId="13" xfId="66" applyFont="1" applyBorder="1" applyAlignment="1">
      <alignment/>
      <protection/>
    </xf>
    <xf numFmtId="3" fontId="12" fillId="0" borderId="13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78" fillId="0" borderId="11" xfId="0" applyFont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53" fillId="0" borderId="11" xfId="64" applyFont="1" applyBorder="1">
      <alignment/>
      <protection/>
    </xf>
    <xf numFmtId="182" fontId="53" fillId="0" borderId="11" xfId="58" applyNumberFormat="1" applyFont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175" fontId="8" fillId="0" borderId="12" xfId="0" applyNumberFormat="1" applyFont="1" applyFill="1" applyBorder="1" applyAlignment="1">
      <alignment horizontal="right"/>
    </xf>
    <xf numFmtId="3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76" fontId="10" fillId="0" borderId="27" xfId="0" applyNumberFormat="1" applyFont="1" applyBorder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4" fontId="10" fillId="0" borderId="52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55" xfId="0" applyFont="1" applyFill="1" applyBorder="1" applyAlignment="1">
      <alignment horizontal="left"/>
    </xf>
    <xf numFmtId="4" fontId="10" fillId="0" borderId="55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left"/>
    </xf>
    <xf numFmtId="4" fontId="7" fillId="0" borderId="5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82" fontId="10" fillId="0" borderId="11" xfId="0" applyNumberFormat="1" applyFont="1" applyFill="1" applyBorder="1" applyAlignment="1">
      <alignment/>
    </xf>
    <xf numFmtId="182" fontId="10" fillId="0" borderId="5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10" fillId="0" borderId="11" xfId="54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82" fontId="10" fillId="0" borderId="51" xfId="0" applyNumberFormat="1" applyFont="1" applyFill="1" applyBorder="1" applyAlignment="1">
      <alignment/>
    </xf>
    <xf numFmtId="0" fontId="13" fillId="35" borderId="0" xfId="0" applyFont="1" applyFill="1" applyAlignment="1">
      <alignment horizontal="center"/>
    </xf>
    <xf numFmtId="0" fontId="7" fillId="35" borderId="11" xfId="0" applyFont="1" applyFill="1" applyBorder="1" applyAlignment="1">
      <alignment horizontal="center"/>
    </xf>
    <xf numFmtId="182" fontId="7" fillId="0" borderId="11" xfId="0" applyNumberFormat="1" applyFont="1" applyFill="1" applyBorder="1" applyAlignment="1">
      <alignment/>
    </xf>
    <xf numFmtId="182" fontId="10" fillId="12" borderId="11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82" fontId="1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3" fontId="7" fillId="0" borderId="56" xfId="37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2" fontId="7" fillId="0" borderId="56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177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6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175" fontId="7" fillId="0" borderId="12" xfId="0" applyNumberFormat="1" applyFont="1" applyFill="1" applyBorder="1" applyAlignment="1">
      <alignment horizontal="right"/>
    </xf>
    <xf numFmtId="3" fontId="79" fillId="0" borderId="0" xfId="0" applyNumberFormat="1" applyFont="1" applyAlignment="1">
      <alignment/>
    </xf>
    <xf numFmtId="0" fontId="20" fillId="0" borderId="45" xfId="0" applyFont="1" applyBorder="1" applyAlignment="1">
      <alignment/>
    </xf>
    <xf numFmtId="0" fontId="6" fillId="0" borderId="44" xfId="0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1" xfId="0" applyNumberFormat="1" applyFont="1" applyBorder="1" applyAlignment="1">
      <alignment horizontal="center"/>
    </xf>
    <xf numFmtId="194" fontId="18" fillId="0" borderId="11" xfId="54" applyNumberFormat="1" applyFont="1" applyBorder="1" applyAlignment="1">
      <alignment/>
    </xf>
    <xf numFmtId="194" fontId="18" fillId="0" borderId="11" xfId="54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173" fontId="18" fillId="0" borderId="63" xfId="60" applyNumberFormat="1" applyFont="1" applyBorder="1" applyAlignment="1">
      <alignment/>
    </xf>
    <xf numFmtId="173" fontId="18" fillId="0" borderId="11" xfId="60" applyNumberFormat="1" applyFont="1" applyBorder="1" applyAlignment="1">
      <alignment/>
    </xf>
    <xf numFmtId="0" fontId="53" fillId="0" borderId="11" xfId="63" applyFont="1" applyBorder="1">
      <alignment/>
      <protection/>
    </xf>
    <xf numFmtId="182" fontId="6" fillId="0" borderId="44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18" fillId="0" borderId="42" xfId="54" applyNumberFormat="1" applyFont="1" applyFill="1" applyBorder="1" applyAlignment="1">
      <alignment/>
    </xf>
    <xf numFmtId="4" fontId="18" fillId="0" borderId="64" xfId="54" applyFont="1" applyFill="1" applyBorder="1" applyAlignment="1">
      <alignment/>
    </xf>
    <xf numFmtId="171" fontId="27" fillId="0" borderId="0" xfId="55" applyFont="1" applyAlignment="1">
      <alignment/>
    </xf>
    <xf numFmtId="171" fontId="27" fillId="0" borderId="0" xfId="66" applyNumberFormat="1" applyFont="1">
      <alignment/>
      <protection/>
    </xf>
    <xf numFmtId="0" fontId="31" fillId="0" borderId="0" xfId="0" applyFont="1" applyAlignment="1">
      <alignment/>
    </xf>
    <xf numFmtId="0" fontId="34" fillId="0" borderId="11" xfId="63" applyFont="1" applyBorder="1">
      <alignment/>
      <protection/>
    </xf>
    <xf numFmtId="182" fontId="23" fillId="0" borderId="44" xfId="0" applyNumberFormat="1" applyFont="1" applyBorder="1" applyAlignment="1">
      <alignment/>
    </xf>
    <xf numFmtId="0" fontId="34" fillId="0" borderId="11" xfId="63" applyFont="1" applyBorder="1" applyAlignment="1">
      <alignment wrapText="1"/>
      <protection/>
    </xf>
    <xf numFmtId="182" fontId="6" fillId="0" borderId="44" xfId="0" applyNumberFormat="1" applyFont="1" applyFill="1" applyBorder="1" applyAlignment="1">
      <alignment/>
    </xf>
    <xf numFmtId="0" fontId="53" fillId="0" borderId="0" xfId="0" applyFont="1" applyAlignment="1">
      <alignment/>
    </xf>
    <xf numFmtId="41" fontId="53" fillId="0" borderId="0" xfId="56" applyFont="1" applyAlignment="1">
      <alignment/>
    </xf>
    <xf numFmtId="196" fontId="53" fillId="35" borderId="0" xfId="56" applyNumberFormat="1" applyFont="1" applyFill="1" applyAlignment="1">
      <alignment/>
    </xf>
    <xf numFmtId="196" fontId="53" fillId="0" borderId="0" xfId="56" applyNumberFormat="1" applyFont="1" applyFill="1" applyAlignment="1">
      <alignment/>
    </xf>
    <xf numFmtId="196" fontId="53" fillId="14" borderId="0" xfId="56" applyNumberFormat="1" applyFont="1" applyFill="1" applyAlignment="1">
      <alignment/>
    </xf>
    <xf numFmtId="182" fontId="23" fillId="0" borderId="4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82" fontId="23" fillId="17" borderId="44" xfId="0" applyNumberFormat="1" applyFont="1" applyFill="1" applyBorder="1" applyAlignment="1">
      <alignment/>
    </xf>
    <xf numFmtId="182" fontId="23" fillId="16" borderId="44" xfId="0" applyNumberFormat="1" applyFont="1" applyFill="1" applyBorder="1" applyAlignment="1">
      <alignment/>
    </xf>
    <xf numFmtId="182" fontId="23" fillId="11" borderId="44" xfId="0" applyNumberFormat="1" applyFont="1" applyFill="1" applyBorder="1" applyAlignment="1">
      <alignment/>
    </xf>
    <xf numFmtId="182" fontId="23" fillId="13" borderId="44" xfId="0" applyNumberFormat="1" applyFont="1" applyFill="1" applyBorder="1" applyAlignment="1">
      <alignment/>
    </xf>
    <xf numFmtId="182" fontId="31" fillId="0" borderId="0" xfId="0" applyNumberFormat="1" applyFont="1" applyAlignment="1">
      <alignment/>
    </xf>
    <xf numFmtId="196" fontId="53" fillId="18" borderId="0" xfId="56" applyNumberFormat="1" applyFont="1" applyFill="1" applyAlignment="1">
      <alignment/>
    </xf>
    <xf numFmtId="196" fontId="53" fillId="9" borderId="0" xfId="56" applyNumberFormat="1" applyFont="1" applyFill="1" applyAlignment="1">
      <alignment/>
    </xf>
    <xf numFmtId="182" fontId="0" fillId="9" borderId="0" xfId="0" applyNumberFormat="1" applyFill="1" applyAlignment="1">
      <alignment/>
    </xf>
    <xf numFmtId="182" fontId="23" fillId="9" borderId="44" xfId="0" applyNumberFormat="1" applyFont="1" applyFill="1" applyBorder="1" applyAlignment="1">
      <alignment/>
    </xf>
    <xf numFmtId="182" fontId="23" fillId="18" borderId="4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7" fillId="0" borderId="14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175" fontId="24" fillId="0" borderId="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3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2" fillId="36" borderId="40" xfId="0" applyFont="1" applyFill="1" applyBorder="1" applyAlignment="1">
      <alignment horizontal="left" vertical="center"/>
    </xf>
    <xf numFmtId="0" fontId="22" fillId="36" borderId="38" xfId="0" applyFont="1" applyFill="1" applyBorder="1" applyAlignment="1">
      <alignment horizontal="left" vertical="center"/>
    </xf>
    <xf numFmtId="0" fontId="22" fillId="36" borderId="60" xfId="0" applyFont="1" applyFill="1" applyBorder="1" applyAlignment="1">
      <alignment horizontal="left" vertical="center"/>
    </xf>
    <xf numFmtId="0" fontId="22" fillId="36" borderId="36" xfId="0" applyFont="1" applyFill="1" applyBorder="1" applyAlignment="1">
      <alignment horizontal="left" vertical="center"/>
    </xf>
    <xf numFmtId="0" fontId="22" fillId="36" borderId="35" xfId="0" applyFont="1" applyFill="1" applyBorder="1" applyAlignment="1">
      <alignment horizontal="left" vertical="center"/>
    </xf>
    <xf numFmtId="0" fontId="22" fillId="36" borderId="62" xfId="0" applyFont="1" applyFill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179" fontId="16" fillId="0" borderId="0" xfId="60" applyNumberFormat="1" applyFont="1" applyBorder="1" applyAlignment="1">
      <alignment horizontal="center" vertical="center"/>
    </xf>
    <xf numFmtId="4" fontId="6" fillId="0" borderId="0" xfId="6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" xfId="48"/>
    <cellStyle name="Heading 1" xfId="49"/>
    <cellStyle name="Heading 2" xfId="50"/>
    <cellStyle name="Hyperlink" xfId="51"/>
    <cellStyle name="Followed Hyperlink" xfId="52"/>
    <cellStyle name="Incorrecto" xfId="53"/>
    <cellStyle name="Comma" xfId="54"/>
    <cellStyle name="Comma [0]" xfId="55"/>
    <cellStyle name="Millares [0] 2" xfId="56"/>
    <cellStyle name="Millares [0] 3" xfId="57"/>
    <cellStyle name="Millares 9" xfId="58"/>
    <cellStyle name="Millares_Hoja1" xfId="59"/>
    <cellStyle name="Currency" xfId="60"/>
    <cellStyle name="Currency [0]" xfId="61"/>
    <cellStyle name="Neutral" xfId="62"/>
    <cellStyle name="Normal 12" xfId="63"/>
    <cellStyle name="Normal 2" xfId="64"/>
    <cellStyle name="Normal_Hoja1" xfId="65"/>
    <cellStyle name="Normal_Hoja8" xfId="66"/>
    <cellStyle name="Normal_Hoja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2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3"/>
      <c:depthPercent val="100"/>
      <c:rAngAx val="1"/>
    </c:view3D>
    <c:plotArea>
      <c:layout>
        <c:manualLayout>
          <c:xMode val="edge"/>
          <c:yMode val="edge"/>
          <c:x val="0.0335"/>
          <c:y val="0.07275"/>
          <c:w val="0.72875"/>
          <c:h val="0.825"/>
        </c:manualLayout>
      </c:layout>
      <c:pie3DChart>
        <c:varyColors val="1"/>
        <c:ser>
          <c:idx val="0"/>
          <c:order val="0"/>
          <c:tx>
            <c:strRef>
              <c:f>'graficas dic2017 niif'!$F$8</c:f>
              <c:strCache>
                <c:ptCount val="1"/>
                <c:pt idx="0">
                  <c:v>DISTRIBUCIÒN DEL ACTIVO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explosion val="41"/>
            <c:spPr>
              <a:solidFill>
                <a:srgbClr val="14E2F8"/>
              </a:solidFill>
              <a:ln w="3175">
                <a:noFill/>
              </a:ln>
            </c:spPr>
          </c:dPt>
          <c:dPt>
            <c:idx val="2"/>
            <c:explosion val="49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dic2017 niif'!$E$9:$E$14</c:f>
              <c:strCache/>
            </c:strRef>
          </c:cat>
          <c:val>
            <c:numRef>
              <c:f>'graficas dic2017 niif'!$F$9:$F$14</c:f>
              <c:numCache/>
            </c:numRef>
          </c:val>
        </c:ser>
        <c:firstSliceAng val="3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9525"/>
          <c:w val="0.25525"/>
          <c:h val="0.5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9FEC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73"/>
          <c:w val="0.6645"/>
          <c:h val="0.66575"/>
        </c:manualLayout>
      </c:layout>
      <c:pie3DChart>
        <c:varyColors val="1"/>
        <c:ser>
          <c:idx val="0"/>
          <c:order val="0"/>
          <c:tx>
            <c:strRef>
              <c:f>Gráficas!$F$84</c:f>
              <c:strCache>
                <c:ptCount val="1"/>
                <c:pt idx="0">
                  <c:v>  CLASIFICACIÓN DE LOS  INGRESOS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Gráficas!$E$85:$E$88</c:f>
              <c:strCache/>
            </c:strRef>
          </c:cat>
          <c:val>
            <c:numRef>
              <c:f>Gráficas!$F$85:$F$88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3945"/>
          <c:w val="0.18275"/>
          <c:h val="0.2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EBF1DE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75"/>
          <c:y val="0.2395"/>
          <c:w val="0.62625"/>
          <c:h val="0.679"/>
        </c:manualLayout>
      </c:layout>
      <c:pie3DChart>
        <c:varyColors val="1"/>
        <c:ser>
          <c:idx val="0"/>
          <c:order val="0"/>
          <c:tx>
            <c:strRef>
              <c:f>Gráficas!$F$126</c:f>
              <c:strCache>
                <c:ptCount val="1"/>
                <c:pt idx="0">
                  <c:v>EGRESOS REPRESENTATIVOS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616A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Gráficas!$E$127:$E$132</c:f>
              <c:strCache/>
            </c:strRef>
          </c:cat>
          <c:val>
            <c:numRef>
              <c:f>Gráficas!$F$127:$F$132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2245"/>
          <c:w val="0.243"/>
          <c:h val="0.5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DEADA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DEL ACTIVO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24375"/>
          <c:w val="0.55725"/>
          <c:h val="0.68225"/>
        </c:manualLayout>
      </c:layout>
      <c:pie3DChart>
        <c:varyColors val="1"/>
        <c:ser>
          <c:idx val="0"/>
          <c:order val="0"/>
          <c:tx>
            <c:strRef>
              <c:f>Gráficas!$F$8</c:f>
              <c:strCache>
                <c:ptCount val="1"/>
                <c:pt idx="0">
                  <c:v>DISTRIBUCIÓN DEL ACTIVO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0,13%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Gráficas!$E$9:$E$13</c:f>
              <c:strCache/>
            </c:strRef>
          </c:cat>
          <c:val>
            <c:numRef>
              <c:f>Gráficas!$F$9:$F$13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6325"/>
          <c:w val="0.28875"/>
          <c:h val="0.3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675"/>
          <c:w val="0.592"/>
          <c:h val="0.73775"/>
        </c:manualLayout>
      </c:layout>
      <c:pie3DChart>
        <c:varyColors val="1"/>
        <c:ser>
          <c:idx val="0"/>
          <c:order val="0"/>
          <c:tx>
            <c:strRef>
              <c:f>'graficas dic2017 niif'!$F$30</c:f>
              <c:strCache>
                <c:ptCount val="1"/>
                <c:pt idx="0">
                  <c:v>DISTRIBUCION DEL PASIVO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dic2017 niif'!$E$31:$E$33</c:f>
              <c:strCache/>
            </c:strRef>
          </c:cat>
          <c:val>
            <c:numRef>
              <c:f>'graficas dic2017 niif'!$F$31:$F$33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3275"/>
          <c:w val="0.253"/>
          <c:h val="0.3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CD5B5"/>
        </a:gs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"/>
          <c:y val="0.0755"/>
          <c:w val="0.58925"/>
          <c:h val="0.8325"/>
        </c:manualLayout>
      </c:layout>
      <c:pieChart>
        <c:varyColors val="1"/>
        <c:ser>
          <c:idx val="0"/>
          <c:order val="0"/>
          <c:tx>
            <c:strRef>
              <c:f>'graficas dic2017 niif'!$F$50</c:f>
              <c:strCache>
                <c:ptCount val="1"/>
                <c:pt idx="0">
                  <c:v>DISTRIBUCION DEL PATRIMONIO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dic2017 niif'!$E$51:$E$58</c:f>
              <c:strCache/>
            </c:strRef>
          </c:cat>
          <c:val>
            <c:numRef>
              <c:f>'graficas dic2017 niif'!$F$51:$F$58</c:f>
              <c:numCache/>
            </c:numRef>
          </c:val>
        </c:ser>
      </c:pieChart>
      <c:spPr>
        <a:gradFill rotWithShape="1">
          <a:gsLst>
            <a:gs pos="0">
              <a:srgbClr val="FCD5B5"/>
            </a:gs>
            <a:gs pos="0">
              <a:srgbClr val="92D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38"/>
          <c:y val="0.2455"/>
          <c:w val="0.32475"/>
          <c:h val="0.5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CD5B5"/>
        </a:gs>
        <a:gs pos="0">
          <a:srgbClr val="92D050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"/>
          <c:y val="0.15025"/>
          <c:w val="0.6755"/>
          <c:h val="0.6775"/>
        </c:manualLayout>
      </c:layout>
      <c:pie3DChart>
        <c:varyColors val="1"/>
        <c:ser>
          <c:idx val="0"/>
          <c:order val="0"/>
          <c:tx>
            <c:strRef>
              <c:f>'graficas dic2017 niif'!$F$100</c:f>
              <c:strCache>
                <c:ptCount val="1"/>
                <c:pt idx="0">
                  <c:v>EGRESOS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C4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dic2017 niif'!$E$101:$E$107</c:f>
              <c:strCache/>
            </c:strRef>
          </c:cat>
          <c:val>
            <c:numRef>
              <c:f>'graficas dic2017 niif'!$F$101:$F$107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30875"/>
          <c:w val="0.26325"/>
          <c:h val="0.4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EBF1DE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1615"/>
          <c:w val="0.665"/>
          <c:h val="0.66575"/>
        </c:manualLayout>
      </c:layout>
      <c:pie3DChart>
        <c:varyColors val="1"/>
        <c:ser>
          <c:idx val="0"/>
          <c:order val="0"/>
          <c:tx>
            <c:strRef>
              <c:f>'graficas dic2017 niif'!$F$84</c:f>
              <c:strCache>
                <c:ptCount val="1"/>
                <c:pt idx="0">
                  <c:v>  CLASIFICACIÓN DE LOS  INGRESOS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dic2017 niif'!$E$85:$E$88</c:f>
              <c:strCache/>
            </c:strRef>
          </c:cat>
          <c:val>
            <c:numRef>
              <c:f>'graficas dic2017 niif'!$F$85:$F$88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3945"/>
          <c:w val="0.1845"/>
          <c:h val="0.2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EBF1DE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8475"/>
          <c:w val="0.62675"/>
          <c:h val="0.679"/>
        </c:manualLayout>
      </c:layout>
      <c:pie3DChart>
        <c:varyColors val="1"/>
        <c:ser>
          <c:idx val="0"/>
          <c:order val="0"/>
          <c:tx>
            <c:strRef>
              <c:f>'graficas dic2017 niif'!$F$126</c:f>
              <c:strCache>
                <c:ptCount val="1"/>
                <c:pt idx="0">
                  <c:v>EGRESOS REPRESENTATIVOS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616A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dic2017 niif'!$E$127:$E$132</c:f>
              <c:strCache/>
            </c:strRef>
          </c:cat>
          <c:val>
            <c:numRef>
              <c:f>'graficas dic2017 niif'!$F$127:$F$132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21675"/>
          <c:w val="0.245"/>
          <c:h val="0.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DEADA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DEL PASIVO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198"/>
          <c:w val="0.5915"/>
          <c:h val="0.7375"/>
        </c:manualLayout>
      </c:layout>
      <c:pie3DChart>
        <c:varyColors val="1"/>
        <c:ser>
          <c:idx val="0"/>
          <c:order val="0"/>
          <c:tx>
            <c:strRef>
              <c:f>Gráficas!$F$30</c:f>
              <c:strCache>
                <c:ptCount val="1"/>
                <c:pt idx="0">
                  <c:v>DISTRIBUCIÓN DEL PASIVO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Gráficas!$E$31:$E$33</c:f>
              <c:strCache/>
            </c:strRef>
          </c:cat>
          <c:val>
            <c:numRef>
              <c:f>Gráficas!$F$31:$F$33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3345"/>
          <c:w val="0.25125"/>
          <c:h val="0.3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CD5B5"/>
        </a:gs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DEL PATRIMONIO</a:t>
            </a:r>
          </a:p>
        </c:rich>
      </c:tx>
      <c:layout>
        <c:manualLayout>
          <c:xMode val="factor"/>
          <c:yMode val="factor"/>
          <c:x val="-0.00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41"/>
          <c:w val="0.61275"/>
          <c:h val="0.859"/>
        </c:manualLayout>
      </c:layout>
      <c:pieChart>
        <c:varyColors val="1"/>
        <c:ser>
          <c:idx val="0"/>
          <c:order val="0"/>
          <c:tx>
            <c:strRef>
              <c:f>Gráficas!$F$50</c:f>
              <c:strCache>
                <c:ptCount val="1"/>
                <c:pt idx="0">
                  <c:v>DISTRIBUCIÓN DEL PATRIMONIO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Gráficas!$E$51:$E$58</c:f>
              <c:strCache/>
            </c:strRef>
          </c:cat>
          <c:val>
            <c:numRef>
              <c:f>Gráficas!$F$51:$F$58</c:f>
              <c:numCache/>
            </c:numRef>
          </c:val>
        </c:ser>
      </c:pieChart>
      <c:spPr>
        <a:gradFill rotWithShape="1">
          <a:gsLst>
            <a:gs pos="0">
              <a:srgbClr val="FCD5B5"/>
            </a:gs>
            <a:gs pos="0">
              <a:srgbClr val="92D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2425"/>
          <c:w val="0.3245"/>
          <c:h val="0.5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CD5B5"/>
        </a:gs>
        <a:gs pos="0">
          <a:srgbClr val="92D050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5925"/>
          <c:w val="0.67525"/>
          <c:h val="0.67825"/>
        </c:manualLayout>
      </c:layout>
      <c:pie3DChart>
        <c:varyColors val="1"/>
        <c:ser>
          <c:idx val="0"/>
          <c:order val="0"/>
          <c:tx>
            <c:strRef>
              <c:f>Gráficas!$F$100</c:f>
              <c:strCache>
                <c:ptCount val="1"/>
                <c:pt idx="0">
                  <c:v>EGRESOS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C4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Gráficas!$E$101:$E$107</c:f>
              <c:strCache/>
            </c:strRef>
          </c:cat>
          <c:val>
            <c:numRef>
              <c:f>Gráficas!$F$101:$F$107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304"/>
          <c:w val="0.2625"/>
          <c:h val="0.4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EBF1DE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104775</xdr:rowOff>
    </xdr:from>
    <xdr:to>
      <xdr:col>14</xdr:col>
      <xdr:colOff>161925</xdr:colOff>
      <xdr:row>21</xdr:row>
      <xdr:rowOff>57150</xdr:rowOff>
    </xdr:to>
    <xdr:graphicFrame>
      <xdr:nvGraphicFramePr>
        <xdr:cNvPr id="1" name="8 Gráfico"/>
        <xdr:cNvGraphicFramePr/>
      </xdr:nvGraphicFramePr>
      <xdr:xfrm>
        <a:off x="4410075" y="104775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23</xdr:row>
      <xdr:rowOff>9525</xdr:rowOff>
    </xdr:from>
    <xdr:to>
      <xdr:col>13</xdr:col>
      <xdr:colOff>752475</xdr:colOff>
      <xdr:row>40</xdr:row>
      <xdr:rowOff>104775</xdr:rowOff>
    </xdr:to>
    <xdr:graphicFrame>
      <xdr:nvGraphicFramePr>
        <xdr:cNvPr id="2" name="9 Gráfico"/>
        <xdr:cNvGraphicFramePr/>
      </xdr:nvGraphicFramePr>
      <xdr:xfrm>
        <a:off x="4638675" y="3733800"/>
        <a:ext cx="56197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41</xdr:row>
      <xdr:rowOff>114300</xdr:rowOff>
    </xdr:from>
    <xdr:to>
      <xdr:col>14</xdr:col>
      <xdr:colOff>133350</xdr:colOff>
      <xdr:row>67</xdr:row>
      <xdr:rowOff>133350</xdr:rowOff>
    </xdr:to>
    <xdr:graphicFrame>
      <xdr:nvGraphicFramePr>
        <xdr:cNvPr id="3" name="10 Gráfico"/>
        <xdr:cNvGraphicFramePr/>
      </xdr:nvGraphicFramePr>
      <xdr:xfrm>
        <a:off x="4448175" y="6762750"/>
        <a:ext cx="595312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95</xdr:row>
      <xdr:rowOff>38100</xdr:rowOff>
    </xdr:from>
    <xdr:to>
      <xdr:col>13</xdr:col>
      <xdr:colOff>628650</xdr:colOff>
      <xdr:row>117</xdr:row>
      <xdr:rowOff>47625</xdr:rowOff>
    </xdr:to>
    <xdr:graphicFrame>
      <xdr:nvGraphicFramePr>
        <xdr:cNvPr id="4" name="12 Gráfico"/>
        <xdr:cNvGraphicFramePr/>
      </xdr:nvGraphicFramePr>
      <xdr:xfrm>
        <a:off x="4438650" y="15506700"/>
        <a:ext cx="569595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447675</xdr:colOff>
      <xdr:row>70</xdr:row>
      <xdr:rowOff>57150</xdr:rowOff>
    </xdr:from>
    <xdr:to>
      <xdr:col>14</xdr:col>
      <xdr:colOff>9525</xdr:colOff>
      <xdr:row>91</xdr:row>
      <xdr:rowOff>171450</xdr:rowOff>
    </xdr:to>
    <xdr:graphicFrame>
      <xdr:nvGraphicFramePr>
        <xdr:cNvPr id="5" name="13 Gráfico"/>
        <xdr:cNvGraphicFramePr/>
      </xdr:nvGraphicFramePr>
      <xdr:xfrm>
        <a:off x="4619625" y="11410950"/>
        <a:ext cx="56578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476250</xdr:colOff>
      <xdr:row>118</xdr:row>
      <xdr:rowOff>152400</xdr:rowOff>
    </xdr:from>
    <xdr:to>
      <xdr:col>14</xdr:col>
      <xdr:colOff>180975</xdr:colOff>
      <xdr:row>139</xdr:row>
      <xdr:rowOff>133350</xdr:rowOff>
    </xdr:to>
    <xdr:graphicFrame>
      <xdr:nvGraphicFramePr>
        <xdr:cNvPr id="6" name="14 Gráfico"/>
        <xdr:cNvGraphicFramePr/>
      </xdr:nvGraphicFramePr>
      <xdr:xfrm>
        <a:off x="4648200" y="19345275"/>
        <a:ext cx="58007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2286000</xdr:colOff>
      <xdr:row>36</xdr:row>
      <xdr:rowOff>142875</xdr:rowOff>
    </xdr:from>
    <xdr:to>
      <xdr:col>4</xdr:col>
      <xdr:colOff>57150</xdr:colOff>
      <xdr:row>39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286000" y="6191250"/>
          <a:ext cx="2752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37</xdr:row>
      <xdr:rowOff>133350</xdr:rowOff>
    </xdr:from>
    <xdr:to>
      <xdr:col>4</xdr:col>
      <xdr:colOff>209550</xdr:colOff>
      <xdr:row>39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438400" y="6343650"/>
          <a:ext cx="2752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46</xdr:row>
      <xdr:rowOff>0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352800" y="75342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304800</xdr:colOff>
      <xdr:row>46</xdr:row>
      <xdr:rowOff>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75342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304800</xdr:colOff>
      <xdr:row>46</xdr:row>
      <xdr:rowOff>0</xdr:rowOff>
    </xdr:from>
    <xdr:ext cx="7620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75342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22</xdr:row>
      <xdr:rowOff>142875</xdr:rowOff>
    </xdr:from>
    <xdr:to>
      <xdr:col>14</xdr:col>
      <xdr:colOff>752475</xdr:colOff>
      <xdr:row>40</xdr:row>
      <xdr:rowOff>104775</xdr:rowOff>
    </xdr:to>
    <xdr:graphicFrame>
      <xdr:nvGraphicFramePr>
        <xdr:cNvPr id="1" name="9 Gráfico"/>
        <xdr:cNvGraphicFramePr/>
      </xdr:nvGraphicFramePr>
      <xdr:xfrm>
        <a:off x="5629275" y="3590925"/>
        <a:ext cx="5848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41</xdr:row>
      <xdr:rowOff>142875</xdr:rowOff>
    </xdr:from>
    <xdr:to>
      <xdr:col>15</xdr:col>
      <xdr:colOff>0</xdr:colOff>
      <xdr:row>67</xdr:row>
      <xdr:rowOff>133350</xdr:rowOff>
    </xdr:to>
    <xdr:graphicFrame>
      <xdr:nvGraphicFramePr>
        <xdr:cNvPr id="2" name="10 Gráfico"/>
        <xdr:cNvGraphicFramePr/>
      </xdr:nvGraphicFramePr>
      <xdr:xfrm>
        <a:off x="5619750" y="6677025"/>
        <a:ext cx="58674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94</xdr:row>
      <xdr:rowOff>66675</xdr:rowOff>
    </xdr:from>
    <xdr:to>
      <xdr:col>15</xdr:col>
      <xdr:colOff>19050</xdr:colOff>
      <xdr:row>116</xdr:row>
      <xdr:rowOff>114300</xdr:rowOff>
    </xdr:to>
    <xdr:graphicFrame>
      <xdr:nvGraphicFramePr>
        <xdr:cNvPr id="3" name="12 Gráfico"/>
        <xdr:cNvGraphicFramePr/>
      </xdr:nvGraphicFramePr>
      <xdr:xfrm>
        <a:off x="5648325" y="15259050"/>
        <a:ext cx="58578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70</xdr:row>
      <xdr:rowOff>9525</xdr:rowOff>
    </xdr:from>
    <xdr:to>
      <xdr:col>14</xdr:col>
      <xdr:colOff>752475</xdr:colOff>
      <xdr:row>91</xdr:row>
      <xdr:rowOff>171450</xdr:rowOff>
    </xdr:to>
    <xdr:graphicFrame>
      <xdr:nvGraphicFramePr>
        <xdr:cNvPr id="4" name="13 Gráfico"/>
        <xdr:cNvGraphicFramePr/>
      </xdr:nvGraphicFramePr>
      <xdr:xfrm>
        <a:off x="5610225" y="11249025"/>
        <a:ext cx="58674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238125</xdr:colOff>
      <xdr:row>119</xdr:row>
      <xdr:rowOff>19050</xdr:rowOff>
    </xdr:from>
    <xdr:to>
      <xdr:col>14</xdr:col>
      <xdr:colOff>752475</xdr:colOff>
      <xdr:row>139</xdr:row>
      <xdr:rowOff>133350</xdr:rowOff>
    </xdr:to>
    <xdr:graphicFrame>
      <xdr:nvGraphicFramePr>
        <xdr:cNvPr id="5" name="14 Gráfico"/>
        <xdr:cNvGraphicFramePr/>
      </xdr:nvGraphicFramePr>
      <xdr:xfrm>
        <a:off x="5629275" y="19088100"/>
        <a:ext cx="584835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1</xdr:row>
      <xdr:rowOff>19050</xdr:rowOff>
    </xdr:from>
    <xdr:to>
      <xdr:col>14</xdr:col>
      <xdr:colOff>752475</xdr:colOff>
      <xdr:row>20</xdr:row>
      <xdr:rowOff>0</xdr:rowOff>
    </xdr:to>
    <xdr:graphicFrame>
      <xdr:nvGraphicFramePr>
        <xdr:cNvPr id="6" name="1 Gráfico"/>
        <xdr:cNvGraphicFramePr/>
      </xdr:nvGraphicFramePr>
      <xdr:xfrm>
        <a:off x="5619750" y="180975"/>
        <a:ext cx="58578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U135"/>
  <sheetViews>
    <sheetView zoomScalePageLayoutView="0" workbookViewId="0" topLeftCell="E1">
      <selection activeCell="P21" sqref="P21"/>
    </sheetView>
  </sheetViews>
  <sheetFormatPr defaultColWidth="11.421875" defaultRowHeight="12.75"/>
  <cols>
    <col min="1" max="1" width="0.42578125" style="0" hidden="1" customWidth="1"/>
    <col min="2" max="2" width="26.421875" style="0" hidden="1" customWidth="1"/>
    <col min="3" max="4" width="0.2890625" style="0" hidden="1" customWidth="1"/>
    <col min="5" max="5" width="30.421875" style="0" customWidth="1"/>
    <col min="6" max="6" width="32.140625" style="0" customWidth="1"/>
    <col min="21" max="21" width="29.140625" style="0" customWidth="1"/>
  </cols>
  <sheetData>
    <row r="7" ht="12.75">
      <c r="U7" s="168"/>
    </row>
    <row r="8" spans="1:21" ht="12.75">
      <c r="A8" s="50" t="s">
        <v>2</v>
      </c>
      <c r="B8" s="32"/>
      <c r="C8" s="6"/>
      <c r="D8" s="6"/>
      <c r="E8" s="126" t="s">
        <v>104</v>
      </c>
      <c r="F8" s="127" t="s">
        <v>105</v>
      </c>
      <c r="U8" s="168"/>
    </row>
    <row r="9" spans="1:21" ht="12.75">
      <c r="A9" s="43" t="s">
        <v>20</v>
      </c>
      <c r="B9" s="33" t="s">
        <v>0</v>
      </c>
      <c r="C9" s="71">
        <v>270206093.65</v>
      </c>
      <c r="D9" s="71"/>
      <c r="E9" s="22" t="s">
        <v>90</v>
      </c>
      <c r="F9" s="180">
        <v>775408000</v>
      </c>
      <c r="P9" s="161">
        <f aca="true" t="shared" si="0" ref="P9:P14">SUM(F9/$F$15)*100</f>
        <v>12.361039375099633</v>
      </c>
      <c r="U9" s="168"/>
    </row>
    <row r="10" spans="1:21" ht="12.75">
      <c r="A10" s="50" t="s">
        <v>21</v>
      </c>
      <c r="B10" s="86">
        <v>3</v>
      </c>
      <c r="C10" s="72">
        <f>SUM(C9)</f>
        <v>270206093.65</v>
      </c>
      <c r="D10" s="73"/>
      <c r="E10" s="22" t="s">
        <v>91</v>
      </c>
      <c r="F10" s="180">
        <v>4727863000</v>
      </c>
      <c r="P10" s="161">
        <f t="shared" si="0"/>
        <v>75.36845209628567</v>
      </c>
      <c r="U10" s="168"/>
    </row>
    <row r="11" spans="1:21" ht="12.75">
      <c r="A11" s="43" t="s">
        <v>22</v>
      </c>
      <c r="B11" s="33" t="s">
        <v>0</v>
      </c>
      <c r="C11" s="71">
        <v>4725901317</v>
      </c>
      <c r="D11" s="71"/>
      <c r="E11" s="22" t="s">
        <v>92</v>
      </c>
      <c r="F11" s="180">
        <v>2535000</v>
      </c>
      <c r="P11" s="161">
        <f t="shared" si="0"/>
        <v>0.040411286465805836</v>
      </c>
      <c r="U11" s="168"/>
    </row>
    <row r="12" spans="1:21" ht="12.75">
      <c r="A12" s="43" t="s">
        <v>23</v>
      </c>
      <c r="B12" s="33" t="s">
        <v>0</v>
      </c>
      <c r="C12" s="76">
        <v>-71104198.45</v>
      </c>
      <c r="D12" s="76"/>
      <c r="E12" s="22" t="s">
        <v>17</v>
      </c>
      <c r="F12" s="180">
        <v>160758000</v>
      </c>
      <c r="P12" s="161">
        <f t="shared" si="0"/>
        <v>2.562697274031564</v>
      </c>
      <c r="U12" s="168"/>
    </row>
    <row r="13" spans="1:21" ht="12.75">
      <c r="A13" s="43" t="s">
        <v>24</v>
      </c>
      <c r="B13" s="32"/>
      <c r="C13" s="76">
        <v>-4944574</v>
      </c>
      <c r="D13" s="76"/>
      <c r="E13" s="22" t="s">
        <v>15</v>
      </c>
      <c r="F13" s="180">
        <v>600949000</v>
      </c>
      <c r="P13" s="161">
        <f t="shared" si="0"/>
        <v>9.57992985812211</v>
      </c>
      <c r="U13" s="168"/>
    </row>
    <row r="14" spans="1:21" ht="12.75">
      <c r="A14" s="50" t="s">
        <v>25</v>
      </c>
      <c r="B14" s="86">
        <v>4</v>
      </c>
      <c r="C14" s="72">
        <f>SUM(C11:C13)</f>
        <v>4649852544.55</v>
      </c>
      <c r="D14" s="73"/>
      <c r="E14" s="22" t="s">
        <v>142</v>
      </c>
      <c r="F14" s="180">
        <v>5487000</v>
      </c>
      <c r="P14" s="161">
        <f t="shared" si="0"/>
        <v>0.0874701099952176</v>
      </c>
      <c r="U14" s="168"/>
    </row>
    <row r="15" spans="1:21" ht="12.75">
      <c r="A15" s="43" t="s">
        <v>26</v>
      </c>
      <c r="B15" s="32"/>
      <c r="C15" s="73"/>
      <c r="D15" s="73"/>
      <c r="E15" s="129" t="s">
        <v>99</v>
      </c>
      <c r="F15" s="181">
        <f>SUM(F9:F14)</f>
        <v>6273000000</v>
      </c>
      <c r="U15" s="168"/>
    </row>
    <row r="16" spans="1:21" ht="12.75">
      <c r="A16" s="43" t="s">
        <v>27</v>
      </c>
      <c r="B16" s="33" t="s">
        <v>0</v>
      </c>
      <c r="C16" s="71">
        <f>1238963+1390994</f>
        <v>2629957</v>
      </c>
      <c r="D16" s="71"/>
      <c r="F16" s="71"/>
      <c r="U16" s="168"/>
    </row>
    <row r="17" spans="1:21" ht="12.75">
      <c r="A17" s="50" t="s">
        <v>28</v>
      </c>
      <c r="B17" s="86">
        <v>5</v>
      </c>
      <c r="C17" s="72">
        <f>SUM(C15:C16)</f>
        <v>2629957</v>
      </c>
      <c r="D17" s="73"/>
      <c r="U17" s="168"/>
    </row>
    <row r="18" spans="1:21" ht="12.75">
      <c r="A18" s="50" t="s">
        <v>13</v>
      </c>
      <c r="B18" s="33"/>
      <c r="C18" s="72">
        <f>SUM(C17,C14,C10)</f>
        <v>4922688595.2</v>
      </c>
      <c r="D18" s="73"/>
      <c r="E18" s="117" t="s">
        <v>0</v>
      </c>
      <c r="U18" s="168"/>
    </row>
    <row r="19" spans="1:21" ht="12.75">
      <c r="A19" s="50"/>
      <c r="B19" s="33"/>
      <c r="C19" s="73"/>
      <c r="D19" s="73"/>
      <c r="E19" s="124"/>
      <c r="F19" s="123"/>
      <c r="U19" s="168"/>
    </row>
    <row r="20" spans="1:21" ht="12.75">
      <c r="A20" s="43" t="s">
        <v>29</v>
      </c>
      <c r="B20" s="33"/>
      <c r="C20" s="71">
        <v>8237448</v>
      </c>
      <c r="D20" s="71"/>
      <c r="E20" s="124"/>
      <c r="F20" s="123"/>
      <c r="U20" s="168"/>
    </row>
    <row r="21" spans="1:21" ht="12.75">
      <c r="A21" s="77" t="s">
        <v>30</v>
      </c>
      <c r="B21" s="86">
        <v>6</v>
      </c>
      <c r="C21" s="72">
        <f>SUM(C20)</f>
        <v>8237448</v>
      </c>
      <c r="D21" s="73"/>
      <c r="E21" s="124"/>
      <c r="F21" s="123"/>
      <c r="U21" s="168"/>
    </row>
    <row r="22" spans="1:21" ht="12.75">
      <c r="A22" s="50" t="s">
        <v>31</v>
      </c>
      <c r="B22" s="33"/>
      <c r="C22" s="73" t="s">
        <v>0</v>
      </c>
      <c r="D22" s="73"/>
      <c r="U22" s="168"/>
    </row>
    <row r="23" spans="1:21" ht="12.75">
      <c r="A23" s="43" t="s">
        <v>32</v>
      </c>
      <c r="B23" s="32"/>
      <c r="C23" s="71">
        <v>11813386</v>
      </c>
      <c r="D23" s="71"/>
      <c r="U23" s="168"/>
    </row>
    <row r="24" spans="1:21" ht="12.75">
      <c r="A24" s="43" t="s">
        <v>33</v>
      </c>
      <c r="B24" s="32"/>
      <c r="C24" s="71">
        <f>90274136</f>
        <v>90274136</v>
      </c>
      <c r="D24" s="71"/>
      <c r="U24" s="168"/>
    </row>
    <row r="25" spans="1:21" ht="12.75">
      <c r="A25" s="43" t="s">
        <v>34</v>
      </c>
      <c r="B25" s="32"/>
      <c r="C25" s="76">
        <v>-45000000</v>
      </c>
      <c r="D25" s="76"/>
      <c r="U25" s="168"/>
    </row>
    <row r="26" spans="1:21" ht="12.75">
      <c r="A26" s="50" t="s">
        <v>35</v>
      </c>
      <c r="B26" s="86">
        <v>7</v>
      </c>
      <c r="C26" s="72">
        <f>SUM(C23:C25)</f>
        <v>57087522</v>
      </c>
      <c r="D26" s="73"/>
      <c r="U26" s="168"/>
    </row>
    <row r="27" spans="1:21" ht="12.75">
      <c r="A27" s="50"/>
      <c r="B27" s="32"/>
      <c r="C27" s="74"/>
      <c r="D27" s="74"/>
      <c r="U27" s="168"/>
    </row>
    <row r="28" spans="1:21" ht="12.75">
      <c r="A28" s="50" t="s">
        <v>36</v>
      </c>
      <c r="B28" s="32"/>
      <c r="C28" s="72">
        <f>SUM(C21+C26)</f>
        <v>65324970</v>
      </c>
      <c r="D28" s="73"/>
      <c r="U28" s="168"/>
    </row>
    <row r="29" spans="1:21" ht="12.75">
      <c r="A29" s="50"/>
      <c r="B29" s="32"/>
      <c r="C29" s="74"/>
      <c r="D29" s="74"/>
      <c r="U29" s="168"/>
    </row>
    <row r="30" spans="1:21" ht="12.75">
      <c r="A30" s="50" t="s">
        <v>37</v>
      </c>
      <c r="B30" s="32"/>
      <c r="C30" s="74"/>
      <c r="D30" s="74"/>
      <c r="E30" s="171" t="s">
        <v>104</v>
      </c>
      <c r="F30" s="127" t="s">
        <v>106</v>
      </c>
      <c r="P30" s="161">
        <f>SUM(F31/$F$34)*100</f>
        <v>26.979857375203302</v>
      </c>
      <c r="U30" s="168"/>
    </row>
    <row r="31" spans="1:21" ht="12.75">
      <c r="A31" s="43" t="s">
        <v>38</v>
      </c>
      <c r="B31" s="33" t="s">
        <v>0</v>
      </c>
      <c r="C31" s="71">
        <v>63159000</v>
      </c>
      <c r="D31" s="71"/>
      <c r="E31" s="169" t="s">
        <v>93</v>
      </c>
      <c r="F31" s="128">
        <v>17252000</v>
      </c>
      <c r="P31" s="161">
        <f>SUM(F32/$F$34)*100</f>
        <v>37.10434129863631</v>
      </c>
      <c r="U31" s="168"/>
    </row>
    <row r="32" spans="1:21" ht="12.75">
      <c r="A32" s="38" t="s">
        <v>39</v>
      </c>
      <c r="B32" s="33" t="s">
        <v>0</v>
      </c>
      <c r="C32" s="71">
        <v>126901000</v>
      </c>
      <c r="D32" s="71"/>
      <c r="E32" s="169" t="s">
        <v>85</v>
      </c>
      <c r="F32" s="128">
        <v>23726000</v>
      </c>
      <c r="P32" s="161">
        <f>SUM(F33/$F$34)*100</f>
        <v>35.91580132616039</v>
      </c>
      <c r="U32" s="168"/>
    </row>
    <row r="33" spans="1:21" ht="12.75">
      <c r="A33" s="38" t="s">
        <v>40</v>
      </c>
      <c r="B33" s="33" t="s">
        <v>0</v>
      </c>
      <c r="C33" s="71">
        <v>13327074</v>
      </c>
      <c r="D33" s="71"/>
      <c r="E33" s="169" t="s">
        <v>94</v>
      </c>
      <c r="F33" s="128">
        <v>22966000</v>
      </c>
      <c r="P33" s="161">
        <f>SUM(F34/$F$34)*100</f>
        <v>100</v>
      </c>
      <c r="U33" s="168"/>
    </row>
    <row r="34" spans="1:21" ht="12.75">
      <c r="A34" s="38" t="s">
        <v>41</v>
      </c>
      <c r="B34" s="33" t="s">
        <v>0</v>
      </c>
      <c r="C34" s="71">
        <v>36989924</v>
      </c>
      <c r="D34" s="71"/>
      <c r="E34" s="170" t="s">
        <v>99</v>
      </c>
      <c r="F34" s="130">
        <f>SUM(F27:F33)</f>
        <v>63944000</v>
      </c>
      <c r="U34" s="168"/>
    </row>
    <row r="35" spans="1:21" ht="12.75">
      <c r="A35" s="38" t="s">
        <v>42</v>
      </c>
      <c r="B35" s="33" t="s">
        <v>0</v>
      </c>
      <c r="C35" s="76">
        <v>-126274039.79</v>
      </c>
      <c r="D35" s="76"/>
      <c r="U35" s="168"/>
    </row>
    <row r="36" spans="1:21" ht="12.75">
      <c r="A36" s="50" t="s">
        <v>43</v>
      </c>
      <c r="B36" s="86">
        <v>8</v>
      </c>
      <c r="C36" s="72">
        <f>SUM(C31:C35)</f>
        <v>114102958.21</v>
      </c>
      <c r="D36" s="73"/>
      <c r="U36" s="168"/>
    </row>
    <row r="37" spans="1:21" ht="12.75">
      <c r="A37" s="55"/>
      <c r="B37" s="32"/>
      <c r="C37" s="73"/>
      <c r="D37" s="73"/>
      <c r="U37" s="168"/>
    </row>
    <row r="38" spans="1:21" ht="12.75">
      <c r="A38" s="36" t="s">
        <v>44</v>
      </c>
      <c r="B38" s="32"/>
      <c r="C38" s="74"/>
      <c r="D38" s="74"/>
      <c r="U38" s="168"/>
    </row>
    <row r="39" spans="1:21" ht="12.75">
      <c r="A39" s="38" t="s">
        <v>45</v>
      </c>
      <c r="B39" s="86">
        <v>9</v>
      </c>
      <c r="C39" s="71">
        <v>483290719</v>
      </c>
      <c r="D39" s="71"/>
      <c r="U39" s="168"/>
    </row>
    <row r="40" spans="1:4" ht="12.75">
      <c r="A40" s="36" t="s">
        <v>16</v>
      </c>
      <c r="B40" s="32"/>
      <c r="C40" s="72">
        <f>SUM(C39)</f>
        <v>483290719</v>
      </c>
      <c r="D40" s="73"/>
    </row>
    <row r="41" spans="1:4" ht="13.5" thickBot="1">
      <c r="A41" s="36" t="s">
        <v>46</v>
      </c>
      <c r="B41" s="33" t="s">
        <v>0</v>
      </c>
      <c r="C41" s="75">
        <f>SUM(C18+C28+C36+C40)</f>
        <v>5585407242.41</v>
      </c>
      <c r="D41" s="73"/>
    </row>
    <row r="42" spans="1:4" ht="13.5" thickTop="1">
      <c r="A42" s="38" t="s">
        <v>47</v>
      </c>
      <c r="B42" s="34"/>
      <c r="C42" s="71">
        <f>500*644350</f>
        <v>322175000</v>
      </c>
      <c r="D42" s="71"/>
    </row>
    <row r="47" ht="12.75">
      <c r="A47" s="50" t="s">
        <v>50</v>
      </c>
    </row>
    <row r="48" ht="12.75">
      <c r="A48" s="38"/>
    </row>
    <row r="49" ht="12.75">
      <c r="A49" s="50" t="s">
        <v>51</v>
      </c>
    </row>
    <row r="50" spans="1:6" ht="12.75">
      <c r="A50" s="43" t="s">
        <v>52</v>
      </c>
      <c r="B50" s="71">
        <v>1908219</v>
      </c>
      <c r="E50" s="126" t="s">
        <v>104</v>
      </c>
      <c r="F50" s="127" t="s">
        <v>107</v>
      </c>
    </row>
    <row r="51" spans="1:16" ht="12.75">
      <c r="A51" s="43" t="s">
        <v>53</v>
      </c>
      <c r="B51" s="71">
        <f>84204+1022753+1492000</f>
        <v>2598957</v>
      </c>
      <c r="E51" s="22" t="s">
        <v>66</v>
      </c>
      <c r="F51" s="180">
        <v>4856015000</v>
      </c>
      <c r="P51" s="161">
        <f>SUM(F51/$F$59)*100</f>
        <v>78.2150372132339</v>
      </c>
    </row>
    <row r="52" spans="1:16" ht="12.75">
      <c r="A52" s="43" t="s">
        <v>54</v>
      </c>
      <c r="B52" s="71">
        <v>32534017.46</v>
      </c>
      <c r="E52" s="22" t="s">
        <v>98</v>
      </c>
      <c r="F52" s="180">
        <v>363222000</v>
      </c>
      <c r="P52" s="161">
        <f aca="true" t="shared" si="1" ref="P52:P58">SUM(F52/$F$59)*100</f>
        <v>5.8503571851951115</v>
      </c>
    </row>
    <row r="53" spans="1:16" ht="12.75">
      <c r="A53" s="43" t="s">
        <v>55</v>
      </c>
      <c r="B53" s="76">
        <f>4308294+2747839</f>
        <v>7056133</v>
      </c>
      <c r="E53" s="22" t="s">
        <v>73</v>
      </c>
      <c r="F53" s="180">
        <v>23533000</v>
      </c>
      <c r="P53" s="161">
        <f t="shared" si="1"/>
        <v>0.37904217156228576</v>
      </c>
    </row>
    <row r="54" spans="1:16" ht="12.75">
      <c r="A54" s="50" t="s">
        <v>56</v>
      </c>
      <c r="B54" s="72">
        <f>SUM(B50:B53)</f>
        <v>44097326.46</v>
      </c>
      <c r="E54" s="22" t="s">
        <v>95</v>
      </c>
      <c r="F54" s="180">
        <v>10978000</v>
      </c>
      <c r="P54" s="161">
        <f t="shared" si="1"/>
        <v>0.17682084559600447</v>
      </c>
    </row>
    <row r="55" spans="1:16" ht="12.75">
      <c r="A55" s="50"/>
      <c r="B55" s="73"/>
      <c r="E55" s="22" t="s">
        <v>96</v>
      </c>
      <c r="F55" s="180">
        <v>241760000</v>
      </c>
      <c r="P55" s="161">
        <f t="shared" si="1"/>
        <v>3.893988671095832</v>
      </c>
    </row>
    <row r="56" spans="1:16" ht="12.75">
      <c r="A56" s="50" t="s">
        <v>57</v>
      </c>
      <c r="B56" s="73"/>
      <c r="E56" s="22" t="s">
        <v>129</v>
      </c>
      <c r="F56" s="180">
        <v>14746000</v>
      </c>
      <c r="P56" s="161">
        <f t="shared" si="1"/>
        <v>0.23751140363988724</v>
      </c>
    </row>
    <row r="57" spans="1:16" ht="12.75">
      <c r="A57" s="43" t="s">
        <v>58</v>
      </c>
      <c r="B57" s="71">
        <v>21965135.77</v>
      </c>
      <c r="E57" s="22" t="s">
        <v>45</v>
      </c>
      <c r="F57" s="180">
        <v>528291000</v>
      </c>
      <c r="P57" s="161">
        <f t="shared" si="1"/>
        <v>8.509096496698742</v>
      </c>
    </row>
    <row r="58" spans="1:16" ht="12.75">
      <c r="A58" s="43" t="s">
        <v>59</v>
      </c>
      <c r="B58" s="71">
        <v>0</v>
      </c>
      <c r="E58" s="22" t="s">
        <v>97</v>
      </c>
      <c r="F58" s="180">
        <v>169999000</v>
      </c>
      <c r="P58" s="161">
        <f t="shared" si="1"/>
        <v>2.7381460129782442</v>
      </c>
    </row>
    <row r="59" spans="1:6" ht="12.75">
      <c r="A59" s="50" t="s">
        <v>60</v>
      </c>
      <c r="B59" s="85">
        <v>2029348.68</v>
      </c>
      <c r="E59" s="126" t="s">
        <v>3</v>
      </c>
      <c r="F59" s="182">
        <f>SUM(F51:F58)</f>
        <v>6208544000</v>
      </c>
    </row>
    <row r="60" spans="1:2" ht="12.75">
      <c r="A60" s="43" t="s">
        <v>0</v>
      </c>
      <c r="B60" s="72">
        <f>SUM(B57:B59)</f>
        <v>23994484.45</v>
      </c>
    </row>
    <row r="61" spans="1:2" ht="12.75">
      <c r="A61" s="50" t="s">
        <v>61</v>
      </c>
      <c r="B61" s="73" t="s">
        <v>0</v>
      </c>
    </row>
    <row r="62" spans="1:2" ht="12.75">
      <c r="A62" s="43" t="s">
        <v>64</v>
      </c>
      <c r="B62" s="73" t="s">
        <v>0</v>
      </c>
    </row>
    <row r="63" spans="1:2" ht="12.75">
      <c r="A63" s="43" t="s">
        <v>62</v>
      </c>
      <c r="B63" s="71">
        <v>9765275</v>
      </c>
    </row>
    <row r="64" spans="1:2" ht="12.75">
      <c r="A64" s="43" t="s">
        <v>63</v>
      </c>
      <c r="B64" s="71">
        <v>0</v>
      </c>
    </row>
    <row r="65" spans="1:2" ht="12.75">
      <c r="A65" s="50" t="s">
        <v>71</v>
      </c>
      <c r="B65" s="71">
        <v>5507562</v>
      </c>
    </row>
    <row r="66" spans="1:2" ht="12.75">
      <c r="A66" s="50" t="s">
        <v>72</v>
      </c>
      <c r="B66" s="72">
        <f>SUM(B63:B65)</f>
        <v>15272837</v>
      </c>
    </row>
    <row r="67" spans="1:6" ht="12.75">
      <c r="A67" s="50" t="s">
        <v>0</v>
      </c>
      <c r="B67" s="72">
        <f>SUM(B54+B60+B66)</f>
        <v>83364647.91</v>
      </c>
      <c r="F67" s="124"/>
    </row>
    <row r="68" spans="1:5" ht="12.75">
      <c r="A68" s="50" t="s">
        <v>65</v>
      </c>
      <c r="B68" s="74"/>
      <c r="E68" s="125"/>
    </row>
    <row r="69" spans="1:5" ht="12.75">
      <c r="A69" s="43" t="s">
        <v>66</v>
      </c>
      <c r="B69" s="71">
        <v>4285005697</v>
      </c>
      <c r="E69" s="125"/>
    </row>
    <row r="70" spans="1:5" ht="12.75">
      <c r="A70" s="43" t="s">
        <v>67</v>
      </c>
      <c r="B70" s="71">
        <v>318318385.21</v>
      </c>
      <c r="E70" s="125"/>
    </row>
    <row r="71" spans="1:5" ht="12.75">
      <c r="A71" s="43" t="s">
        <v>73</v>
      </c>
      <c r="B71" s="71">
        <v>23533290.6</v>
      </c>
      <c r="E71" s="125"/>
    </row>
    <row r="72" spans="1:5" ht="12.75">
      <c r="A72" s="43" t="s">
        <v>68</v>
      </c>
      <c r="B72" s="71">
        <v>10977610.85</v>
      </c>
      <c r="E72" s="125"/>
    </row>
    <row r="73" spans="1:5" ht="12.75">
      <c r="A73" s="43" t="s">
        <v>128</v>
      </c>
      <c r="B73" s="71">
        <v>14745982.71</v>
      </c>
      <c r="E73" s="125"/>
    </row>
    <row r="74" spans="1:5" ht="12.75">
      <c r="A74" s="38" t="s">
        <v>69</v>
      </c>
      <c r="B74" s="71">
        <v>241759588</v>
      </c>
      <c r="E74" s="125"/>
    </row>
    <row r="75" spans="1:2" ht="12.75">
      <c r="A75" s="38" t="s">
        <v>45</v>
      </c>
      <c r="B75" s="71">
        <v>483290719</v>
      </c>
    </row>
    <row r="76" spans="1:2" ht="12.75">
      <c r="A76" s="38" t="s">
        <v>70</v>
      </c>
      <c r="B76" s="73">
        <v>158122212.13</v>
      </c>
    </row>
    <row r="77" spans="1:2" ht="12.75">
      <c r="A77" s="36" t="s">
        <v>3</v>
      </c>
      <c r="B77" s="72">
        <f>SUM(B69:B76)</f>
        <v>5535753485.500001</v>
      </c>
    </row>
    <row r="78" spans="1:2" ht="13.5" thickBot="1">
      <c r="A78" s="50" t="s">
        <v>4</v>
      </c>
      <c r="B78" s="75">
        <f>SUM(B67+B77)</f>
        <v>5619118133.410001</v>
      </c>
    </row>
    <row r="79" ht="13.5" thickTop="1">
      <c r="B79" s="85">
        <f>SUM(B34)</f>
        <v>0</v>
      </c>
    </row>
    <row r="83" ht="14.25">
      <c r="A83" s="95" t="s">
        <v>7</v>
      </c>
    </row>
    <row r="84" spans="1:6" ht="12.75">
      <c r="A84" s="50"/>
      <c r="E84" s="126" t="s">
        <v>104</v>
      </c>
      <c r="F84" s="127" t="s">
        <v>108</v>
      </c>
    </row>
    <row r="85" spans="1:16" ht="12.75">
      <c r="A85" s="43" t="s">
        <v>8</v>
      </c>
      <c r="B85" s="71">
        <v>7709314.77</v>
      </c>
      <c r="E85" s="22" t="s">
        <v>8</v>
      </c>
      <c r="F85" s="180">
        <v>55168000</v>
      </c>
      <c r="P85" s="161">
        <f>SUM(F85/F89)*100</f>
        <v>6.236984613297458</v>
      </c>
    </row>
    <row r="86" spans="1:16" ht="12.75">
      <c r="A86" s="43" t="s">
        <v>74</v>
      </c>
      <c r="B86" s="73">
        <v>699431895</v>
      </c>
      <c r="E86" s="22" t="s">
        <v>74</v>
      </c>
      <c r="F86" s="180">
        <v>773000000</v>
      </c>
      <c r="P86" s="161">
        <f>SUM(F86/F89*100)</f>
        <v>87.39104383118719</v>
      </c>
    </row>
    <row r="87" spans="1:16" ht="12.75">
      <c r="A87" s="43" t="s">
        <v>75</v>
      </c>
      <c r="B87" s="71">
        <v>9946040.38</v>
      </c>
      <c r="E87" s="22" t="s">
        <v>75</v>
      </c>
      <c r="F87" s="180">
        <v>55261000</v>
      </c>
      <c r="P87" s="161">
        <f>SUM(F87/F89*100)</f>
        <v>6.247498671610912</v>
      </c>
    </row>
    <row r="88" spans="1:16" ht="12.75">
      <c r="A88" s="43" t="s">
        <v>76</v>
      </c>
      <c r="B88" s="71">
        <v>5894883.2</v>
      </c>
      <c r="E88" s="22" t="s">
        <v>76</v>
      </c>
      <c r="F88" s="180">
        <v>1101000</v>
      </c>
      <c r="P88" s="161">
        <f>SUM(F88/F89*100)</f>
        <v>0.12447288390444644</v>
      </c>
    </row>
    <row r="89" spans="2:16" ht="12.75">
      <c r="B89" s="6"/>
      <c r="E89" s="126" t="s">
        <v>9</v>
      </c>
      <c r="F89" s="181">
        <f>SUM(F85:F88)</f>
        <v>884530000</v>
      </c>
      <c r="P89" s="161"/>
    </row>
    <row r="90" ht="12.75">
      <c r="B90" s="72">
        <f>SUM(B85:B89)</f>
        <v>722982133.35</v>
      </c>
    </row>
    <row r="91" ht="13.5" thickBot="1"/>
    <row r="92" ht="14.25">
      <c r="A92" s="100" t="s">
        <v>77</v>
      </c>
    </row>
    <row r="93" spans="1:2" ht="12.75">
      <c r="A93" s="43" t="s">
        <v>10</v>
      </c>
      <c r="B93" s="71">
        <v>96153970</v>
      </c>
    </row>
    <row r="94" spans="1:2" ht="12.75">
      <c r="A94" s="43" t="s">
        <v>11</v>
      </c>
      <c r="B94" s="71">
        <f>325158441.71+120000-5300</f>
        <v>325273141.71</v>
      </c>
    </row>
    <row r="95" spans="1:2" ht="12.75">
      <c r="A95" s="43" t="s">
        <v>14</v>
      </c>
      <c r="B95" s="71">
        <f>9119301.56-120000+5300</f>
        <v>9004601.56</v>
      </c>
    </row>
    <row r="96" spans="1:2" ht="12.75">
      <c r="A96" s="43" t="s">
        <v>78</v>
      </c>
      <c r="B96" s="71">
        <v>4013000</v>
      </c>
    </row>
    <row r="97" spans="1:2" ht="12.75">
      <c r="A97" s="62" t="s">
        <v>79</v>
      </c>
      <c r="B97" s="71">
        <v>6373088.09</v>
      </c>
    </row>
    <row r="98" spans="1:2" ht="12.75">
      <c r="A98" s="62" t="s">
        <v>75</v>
      </c>
      <c r="B98" s="71">
        <v>1460212.63</v>
      </c>
    </row>
    <row r="99" spans="1:2" ht="12.75">
      <c r="A99" s="43" t="s">
        <v>80</v>
      </c>
      <c r="B99" s="71">
        <v>1320541</v>
      </c>
    </row>
    <row r="100" spans="2:6" ht="12.75">
      <c r="B100" s="9"/>
      <c r="E100" s="126" t="s">
        <v>104</v>
      </c>
      <c r="F100" s="127" t="s">
        <v>100</v>
      </c>
    </row>
    <row r="101" spans="2:16" ht="12.75">
      <c r="B101" s="72">
        <f>SUM(B93:B99)</f>
        <v>443598554.98999995</v>
      </c>
      <c r="E101" s="22" t="s">
        <v>10</v>
      </c>
      <c r="F101" s="180">
        <v>215573000</v>
      </c>
      <c r="P101" s="161">
        <f>SUM(F101/F108*100)</f>
        <v>30.169437443057852</v>
      </c>
    </row>
    <row r="102" spans="5:16" ht="12.75">
      <c r="E102" s="22" t="s">
        <v>11</v>
      </c>
      <c r="F102" s="183">
        <v>379111000</v>
      </c>
      <c r="P102" s="161">
        <f>SUM(F102/F108*100)</f>
        <v>53.0565775791732</v>
      </c>
    </row>
    <row r="103" spans="5:16" ht="12.75">
      <c r="E103" s="22" t="s">
        <v>14</v>
      </c>
      <c r="F103" s="180">
        <v>16542000</v>
      </c>
      <c r="P103" s="161">
        <f>SUM(F103/F108*100)</f>
        <v>2.3150526002006884</v>
      </c>
    </row>
    <row r="104" spans="5:16" ht="12.75">
      <c r="E104" s="22" t="s">
        <v>101</v>
      </c>
      <c r="F104" s="180">
        <v>13336000</v>
      </c>
      <c r="P104" s="161">
        <f>SUM(F104/F108*100)</f>
        <v>1.8663729583047017</v>
      </c>
    </row>
    <row r="105" spans="5:16" ht="12.75">
      <c r="E105" s="22" t="s">
        <v>79</v>
      </c>
      <c r="F105" s="180">
        <v>74932000</v>
      </c>
      <c r="P105" s="161">
        <f>SUM(F105/F108*100)</f>
        <v>10.486732041968201</v>
      </c>
    </row>
    <row r="106" spans="5:16" ht="12.75">
      <c r="E106" s="22" t="s">
        <v>75</v>
      </c>
      <c r="F106" s="180">
        <v>14699000</v>
      </c>
      <c r="P106" s="161">
        <f>SUM(F106/F108*100)</f>
        <v>2.0571247836023403</v>
      </c>
    </row>
    <row r="107" spans="5:16" ht="12.75">
      <c r="E107" s="22" t="s">
        <v>132</v>
      </c>
      <c r="F107" s="180">
        <v>348000</v>
      </c>
      <c r="P107" s="161">
        <f>SUM(F107/F108*100)</f>
        <v>0.048702593693014114</v>
      </c>
    </row>
    <row r="108" spans="5:6" ht="12.75">
      <c r="E108" s="126" t="s">
        <v>102</v>
      </c>
      <c r="F108" s="181">
        <f>SUM(F101:F107)</f>
        <v>714541000</v>
      </c>
    </row>
    <row r="110" spans="2:6" ht="12.75">
      <c r="B110" s="71">
        <v>135950114.5</v>
      </c>
      <c r="F110">
        <f>SUM(F108/2)</f>
        <v>357270500</v>
      </c>
    </row>
    <row r="111" ht="12.75">
      <c r="B111" s="71">
        <v>379622657.84</v>
      </c>
    </row>
    <row r="112" ht="12.75">
      <c r="B112" s="71">
        <v>9745016.1</v>
      </c>
    </row>
    <row r="113" ht="12.75">
      <c r="B113" s="71">
        <v>1412000</v>
      </c>
    </row>
    <row r="114" ht="12.75">
      <c r="B114" s="71">
        <v>35430519.54</v>
      </c>
    </row>
    <row r="115" ht="12.75">
      <c r="B115" s="71">
        <v>2504613.24</v>
      </c>
    </row>
    <row r="116" ht="12.75">
      <c r="B116" s="71">
        <v>195000</v>
      </c>
    </row>
    <row r="126" spans="5:16" ht="12.75">
      <c r="E126" s="126" t="s">
        <v>104</v>
      </c>
      <c r="F126" s="127" t="s">
        <v>103</v>
      </c>
      <c r="P126" s="172" t="s">
        <v>0</v>
      </c>
    </row>
    <row r="127" spans="2:16" ht="12.75">
      <c r="B127" s="116">
        <v>25848532</v>
      </c>
      <c r="E127" s="22" t="s">
        <v>86</v>
      </c>
      <c r="F127" s="180">
        <v>30091000</v>
      </c>
      <c r="P127" s="161">
        <f>SUM(F127/$F$133)*100</f>
        <v>9.720319929708497</v>
      </c>
    </row>
    <row r="128" spans="2:16" ht="12.75">
      <c r="B128" s="116">
        <v>12707000</v>
      </c>
      <c r="E128" s="22" t="s">
        <v>131</v>
      </c>
      <c r="F128" s="180">
        <v>17176000</v>
      </c>
      <c r="P128" s="161">
        <f>SUM(F128/$F$133)*100</f>
        <v>5.548377093239611</v>
      </c>
    </row>
    <row r="129" spans="2:16" ht="12.75">
      <c r="B129" s="116">
        <v>23054824</v>
      </c>
      <c r="E129" s="22" t="s">
        <v>130</v>
      </c>
      <c r="F129" s="180">
        <v>15842000</v>
      </c>
      <c r="P129" s="161">
        <f>SUM(F129/$F$133)*100</f>
        <v>5.117454000413479</v>
      </c>
    </row>
    <row r="130" spans="2:16" ht="12.75">
      <c r="B130" s="116"/>
      <c r="E130" s="22" t="s">
        <v>87</v>
      </c>
      <c r="F130" s="180">
        <v>33504000</v>
      </c>
      <c r="P130" s="161">
        <f>SUM(F130/F133*100)</f>
        <v>10.822824064502791</v>
      </c>
    </row>
    <row r="131" spans="2:16" ht="12.75">
      <c r="B131" s="116">
        <v>18070248</v>
      </c>
      <c r="E131" s="22" t="s">
        <v>88</v>
      </c>
      <c r="F131" s="180">
        <v>20935000</v>
      </c>
      <c r="P131" s="161">
        <f>SUM(F131/$F$133)*100</f>
        <v>6.762649886293157</v>
      </c>
    </row>
    <row r="132" spans="2:16" ht="12.75">
      <c r="B132" s="116">
        <v>219050588.3</v>
      </c>
      <c r="E132" s="22" t="s">
        <v>89</v>
      </c>
      <c r="F132" s="180">
        <v>192020000</v>
      </c>
      <c r="P132" s="161">
        <f>SUM(F132/$F$133)*100</f>
        <v>62.028375025842465</v>
      </c>
    </row>
    <row r="133" spans="5:6" ht="12.75">
      <c r="E133" s="129" t="s">
        <v>109</v>
      </c>
      <c r="F133" s="181">
        <f>SUM(F127:F132)</f>
        <v>309568000</v>
      </c>
    </row>
    <row r="135" ht="12.75">
      <c r="F135" s="162">
        <f>SUM(F127:F131)</f>
        <v>117548000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7"/>
  <sheetViews>
    <sheetView showGridLines="0" zoomScale="130" zoomScaleNormal="130" zoomScalePageLayoutView="0" workbookViewId="0" topLeftCell="A1">
      <pane ySplit="1" topLeftCell="A184" activePane="bottomLeft" state="frozen"/>
      <selection pane="topLeft" activeCell="A1" sqref="A1:F428"/>
      <selection pane="bottomLeft" activeCell="F199" sqref="F199:F200"/>
    </sheetView>
  </sheetViews>
  <sheetFormatPr defaultColWidth="11.421875" defaultRowHeight="12.75"/>
  <cols>
    <col min="1" max="1" width="11.00390625" style="0" bestFit="1" customWidth="1"/>
    <col min="2" max="2" width="46.28125" style="0" customWidth="1"/>
    <col min="3" max="3" width="16.57421875" style="0" bestFit="1" customWidth="1"/>
    <col min="4" max="5" width="13.28125" style="0" bestFit="1" customWidth="1"/>
    <col min="6" max="6" width="13.8515625" style="155" bestFit="1" customWidth="1"/>
    <col min="7" max="7" width="13.00390625" style="209" hidden="1" customWidth="1"/>
  </cols>
  <sheetData>
    <row r="1" spans="1:11" ht="15">
      <c r="A1" s="339" t="s">
        <v>244</v>
      </c>
      <c r="B1" s="339" t="s">
        <v>245</v>
      </c>
      <c r="C1" s="339" t="s">
        <v>246</v>
      </c>
      <c r="D1" s="339" t="s">
        <v>247</v>
      </c>
      <c r="E1" s="339" t="s">
        <v>248</v>
      </c>
      <c r="F1" s="340" t="s">
        <v>249</v>
      </c>
      <c r="G1" s="209" t="s">
        <v>250</v>
      </c>
      <c r="J1" t="s">
        <v>699</v>
      </c>
      <c r="K1" t="s">
        <v>665</v>
      </c>
    </row>
    <row r="2" spans="1:11" ht="12.75">
      <c r="A2" s="441">
        <v>1000</v>
      </c>
      <c r="B2" s="441" t="s">
        <v>251</v>
      </c>
      <c r="C2" s="442">
        <v>8502342440.61</v>
      </c>
      <c r="D2" s="442">
        <v>3409516154.29</v>
      </c>
      <c r="E2" s="442">
        <v>3517594597.08</v>
      </c>
      <c r="F2" s="444">
        <v>8394263997.82</v>
      </c>
      <c r="G2" s="209">
        <f>+F2-C2</f>
        <v>-108078442.78999996</v>
      </c>
      <c r="J2">
        <f>VLOOKUP(A2,'BCE DIC 2019'!$A$1:$F$396,6,0)</f>
        <v>7079921200.32</v>
      </c>
      <c r="K2">
        <f>+F2-J2</f>
        <v>1314342797.5</v>
      </c>
    </row>
    <row r="3" spans="1:11" ht="12.75">
      <c r="A3" s="441">
        <v>1100</v>
      </c>
      <c r="B3" s="441" t="s">
        <v>252</v>
      </c>
      <c r="C3" s="442">
        <v>1730431533.23</v>
      </c>
      <c r="D3" s="442">
        <v>1828970809.15</v>
      </c>
      <c r="E3" s="442">
        <v>1976047157.8</v>
      </c>
      <c r="F3" s="444">
        <v>1583355184.58</v>
      </c>
      <c r="G3" s="209">
        <f aca="true" t="shared" si="0" ref="G3:G66">+F3-C3</f>
        <v>-147076348.6500001</v>
      </c>
      <c r="J3">
        <f>VLOOKUP(A3,'BCE DIC 2019'!$A$1:$F$396,6,0)</f>
        <v>306472383.26</v>
      </c>
      <c r="K3">
        <f aca="true" t="shared" si="1" ref="K3:K66">+F3-J3</f>
        <v>1276882801.32</v>
      </c>
    </row>
    <row r="4" spans="1:11" ht="12.75">
      <c r="A4" s="441">
        <v>1105</v>
      </c>
      <c r="B4" s="441" t="s">
        <v>253</v>
      </c>
      <c r="C4" s="442">
        <v>2154288.07</v>
      </c>
      <c r="D4" s="442">
        <v>201697990</v>
      </c>
      <c r="E4" s="442">
        <v>203068399</v>
      </c>
      <c r="F4" s="444">
        <v>783879.07</v>
      </c>
      <c r="G4" s="209">
        <f t="shared" si="0"/>
        <v>-1370409</v>
      </c>
      <c r="J4">
        <f>VLOOKUP(A4,'BCE DIC 2019'!$A$1:$F$396,6,0)</f>
        <v>0</v>
      </c>
      <c r="K4">
        <f t="shared" si="1"/>
        <v>783879.07</v>
      </c>
    </row>
    <row r="5" spans="1:11" ht="12.75">
      <c r="A5" s="441">
        <v>110505</v>
      </c>
      <c r="B5" s="441" t="s">
        <v>254</v>
      </c>
      <c r="C5" s="442">
        <v>697288.07</v>
      </c>
      <c r="D5" s="442">
        <v>201064440</v>
      </c>
      <c r="E5" s="442">
        <v>201434849</v>
      </c>
      <c r="F5" s="444">
        <v>326879.07</v>
      </c>
      <c r="G5" s="209">
        <f t="shared" si="0"/>
        <v>-370408.99999999994</v>
      </c>
      <c r="J5">
        <f>VLOOKUP(A5,'BCE DIC 2019'!$A$1:$F$396,6,0)</f>
        <v>0</v>
      </c>
      <c r="K5">
        <f t="shared" si="1"/>
        <v>326879.07</v>
      </c>
    </row>
    <row r="6" spans="1:11" ht="12.75">
      <c r="A6" s="441">
        <v>11050501</v>
      </c>
      <c r="B6" s="441" t="s">
        <v>255</v>
      </c>
      <c r="C6" s="442">
        <v>697288.07</v>
      </c>
      <c r="D6" s="442">
        <v>201064440</v>
      </c>
      <c r="E6" s="442">
        <v>201434849</v>
      </c>
      <c r="F6" s="444">
        <v>326879.07</v>
      </c>
      <c r="G6" s="209">
        <f t="shared" si="0"/>
        <v>-370408.99999999994</v>
      </c>
      <c r="J6">
        <f>VLOOKUP(A6,'BCE DIC 2019'!$A$1:$F$396,6,0)</f>
        <v>0</v>
      </c>
      <c r="K6">
        <f t="shared" si="1"/>
        <v>326879.07</v>
      </c>
    </row>
    <row r="7" spans="1:11" ht="12.75">
      <c r="A7" s="441">
        <v>110510</v>
      </c>
      <c r="B7" s="441" t="s">
        <v>256</v>
      </c>
      <c r="C7" s="442">
        <v>1457000</v>
      </c>
      <c r="D7" s="442">
        <v>633550</v>
      </c>
      <c r="E7" s="442">
        <v>1633550</v>
      </c>
      <c r="F7" s="444">
        <v>457000</v>
      </c>
      <c r="G7" s="209">
        <f t="shared" si="0"/>
        <v>-1000000</v>
      </c>
      <c r="J7">
        <f>VLOOKUP(A7,'BCE DIC 2019'!$A$1:$F$396,6,0)</f>
        <v>0</v>
      </c>
      <c r="K7">
        <f t="shared" si="1"/>
        <v>457000</v>
      </c>
    </row>
    <row r="8" spans="1:11" ht="12.75">
      <c r="A8" s="441">
        <v>11051001</v>
      </c>
      <c r="B8" s="441" t="s">
        <v>257</v>
      </c>
      <c r="C8" s="442">
        <v>1457000</v>
      </c>
      <c r="D8" s="442">
        <v>633550</v>
      </c>
      <c r="E8" s="442">
        <v>1633550</v>
      </c>
      <c r="F8" s="444">
        <v>457000</v>
      </c>
      <c r="G8" s="209">
        <f t="shared" si="0"/>
        <v>-1000000</v>
      </c>
      <c r="J8">
        <f>VLOOKUP(A8,'BCE DIC 2019'!$A$1:$F$396,6,0)</f>
        <v>0</v>
      </c>
      <c r="K8">
        <f t="shared" si="1"/>
        <v>457000</v>
      </c>
    </row>
    <row r="9" spans="1:12" ht="12.75">
      <c r="A9" s="441">
        <v>1110</v>
      </c>
      <c r="B9" s="441" t="s">
        <v>258</v>
      </c>
      <c r="C9" s="442">
        <v>519927052.16</v>
      </c>
      <c r="D9" s="442">
        <v>787596524.15</v>
      </c>
      <c r="E9" s="442">
        <v>955757606.8</v>
      </c>
      <c r="F9" s="444">
        <v>351765969.51</v>
      </c>
      <c r="G9" s="209">
        <f t="shared" si="0"/>
        <v>-168161082.65000004</v>
      </c>
      <c r="H9">
        <f>+F9-'BCE DIC 2019'!F9</f>
        <v>45293586.25</v>
      </c>
      <c r="I9">
        <f>+H9/F9</f>
        <v>0.1287605686050094</v>
      </c>
      <c r="J9">
        <f>VLOOKUP(A9,'BCE DIC 2019'!$A$1:$F$396,6,0)</f>
        <v>306472383.26</v>
      </c>
      <c r="K9">
        <f t="shared" si="1"/>
        <v>45293586.25</v>
      </c>
      <c r="L9">
        <f>+K9/J9</f>
        <v>0.14779010678940874</v>
      </c>
    </row>
    <row r="10" spans="1:11" ht="12.75">
      <c r="A10" s="441">
        <v>111005</v>
      </c>
      <c r="B10" s="441" t="s">
        <v>259</v>
      </c>
      <c r="C10" s="442">
        <v>519927052.16</v>
      </c>
      <c r="D10" s="442">
        <v>787596524.15</v>
      </c>
      <c r="E10" s="442">
        <v>955757606.8</v>
      </c>
      <c r="F10" s="444">
        <v>351765969.51</v>
      </c>
      <c r="G10" s="209">
        <f t="shared" si="0"/>
        <v>-168161082.65000004</v>
      </c>
      <c r="J10">
        <f>VLOOKUP(A10,'BCE DIC 2019'!$A$1:$F$396,6,0)</f>
        <v>306472383.26</v>
      </c>
      <c r="K10">
        <f t="shared" si="1"/>
        <v>45293586.25</v>
      </c>
    </row>
    <row r="11" spans="1:11" ht="12.75">
      <c r="A11" s="441">
        <v>11100501</v>
      </c>
      <c r="B11" s="441" t="s">
        <v>784</v>
      </c>
      <c r="C11" s="442">
        <v>2397597.46</v>
      </c>
      <c r="D11" s="442">
        <v>319079141</v>
      </c>
      <c r="E11" s="442">
        <v>320624750</v>
      </c>
      <c r="F11" s="444">
        <v>851988.46</v>
      </c>
      <c r="G11" s="209">
        <f t="shared" si="0"/>
        <v>-1545609</v>
      </c>
      <c r="J11">
        <f>VLOOKUP(A11,'BCE DIC 2019'!$A$1:$F$396,6,0)</f>
        <v>44608.46</v>
      </c>
      <c r="K11">
        <f t="shared" si="1"/>
        <v>807380</v>
      </c>
    </row>
    <row r="12" spans="1:11" ht="12.75">
      <c r="A12" s="441">
        <v>11100502</v>
      </c>
      <c r="B12" s="441" t="s">
        <v>785</v>
      </c>
      <c r="C12" s="442">
        <v>56381958.8</v>
      </c>
      <c r="D12" s="442">
        <v>308754360</v>
      </c>
      <c r="E12" s="442">
        <v>345132856.8</v>
      </c>
      <c r="F12" s="444">
        <v>20003462</v>
      </c>
      <c r="G12" s="209">
        <f t="shared" si="0"/>
        <v>-36378496.8</v>
      </c>
      <c r="J12">
        <f>VLOOKUP(A12,'BCE DIC 2019'!$A$1:$F$396,6,0)</f>
        <v>101761328.4</v>
      </c>
      <c r="K12">
        <f t="shared" si="1"/>
        <v>-81757866.4</v>
      </c>
    </row>
    <row r="13" spans="1:11" ht="12.75">
      <c r="A13" s="441">
        <v>11100506</v>
      </c>
      <c r="B13" s="441" t="s">
        <v>786</v>
      </c>
      <c r="C13" s="442">
        <v>461147495.9</v>
      </c>
      <c r="D13" s="442">
        <v>159763023.15</v>
      </c>
      <c r="E13" s="442">
        <v>290000000</v>
      </c>
      <c r="F13" s="444">
        <v>330910519.05</v>
      </c>
      <c r="G13" s="209">
        <f t="shared" si="0"/>
        <v>-130236976.84999996</v>
      </c>
      <c r="J13">
        <f>VLOOKUP(A13,'BCE DIC 2019'!$A$1:$F$396,6,0)</f>
        <v>204666446.4</v>
      </c>
      <c r="K13">
        <f t="shared" si="1"/>
        <v>126244072.65</v>
      </c>
    </row>
    <row r="14" spans="1:11" ht="12.75">
      <c r="A14" s="441">
        <v>1115</v>
      </c>
      <c r="B14" s="441" t="s">
        <v>263</v>
      </c>
      <c r="C14" s="442">
        <v>1208350193</v>
      </c>
      <c r="D14" s="442">
        <v>839676295</v>
      </c>
      <c r="E14" s="442">
        <v>817221152</v>
      </c>
      <c r="F14" s="444">
        <v>1230805336</v>
      </c>
      <c r="G14" s="209">
        <f t="shared" si="0"/>
        <v>22455143</v>
      </c>
      <c r="H14">
        <f>+F14+F21</f>
        <v>1360579851</v>
      </c>
      <c r="J14">
        <v>0</v>
      </c>
      <c r="K14">
        <f t="shared" si="1"/>
        <v>1230805336</v>
      </c>
    </row>
    <row r="15" spans="1:11" ht="12.75">
      <c r="A15" s="441">
        <v>111505</v>
      </c>
      <c r="B15" s="441" t="s">
        <v>707</v>
      </c>
      <c r="C15" s="442">
        <v>1206128920</v>
      </c>
      <c r="D15" s="442">
        <v>839650450</v>
      </c>
      <c r="E15" s="442">
        <v>817221152</v>
      </c>
      <c r="F15" s="444">
        <v>1228558218</v>
      </c>
      <c r="G15" s="209">
        <f t="shared" si="0"/>
        <v>22429298</v>
      </c>
      <c r="J15">
        <v>0</v>
      </c>
      <c r="K15">
        <f t="shared" si="1"/>
        <v>1228558218</v>
      </c>
    </row>
    <row r="16" spans="1:11" ht="12.75">
      <c r="A16" s="441">
        <v>11151003</v>
      </c>
      <c r="B16" s="441" t="s">
        <v>708</v>
      </c>
      <c r="C16" s="442">
        <v>66968428</v>
      </c>
      <c r="D16" s="442">
        <v>0</v>
      </c>
      <c r="E16" s="442">
        <v>0</v>
      </c>
      <c r="F16" s="444">
        <v>66968428</v>
      </c>
      <c r="G16" s="209">
        <f t="shared" si="0"/>
        <v>0</v>
      </c>
      <c r="J16">
        <v>0</v>
      </c>
      <c r="K16">
        <f t="shared" si="1"/>
        <v>66968428</v>
      </c>
    </row>
    <row r="17" spans="1:11" ht="12.75">
      <c r="A17" s="441">
        <v>11151004</v>
      </c>
      <c r="B17" s="441" t="s">
        <v>787</v>
      </c>
      <c r="C17" s="442">
        <v>105413640</v>
      </c>
      <c r="D17" s="442">
        <v>108289430</v>
      </c>
      <c r="E17" s="442">
        <v>105413640</v>
      </c>
      <c r="F17" s="444">
        <v>108289430</v>
      </c>
      <c r="G17" s="209">
        <f t="shared" si="0"/>
        <v>2875790</v>
      </c>
      <c r="J17">
        <v>0</v>
      </c>
      <c r="K17">
        <f t="shared" si="1"/>
        <v>108289430</v>
      </c>
    </row>
    <row r="18" spans="1:11" ht="12.75">
      <c r="A18" s="441">
        <v>11151007</v>
      </c>
      <c r="B18" s="441" t="s">
        <v>708</v>
      </c>
      <c r="C18" s="442">
        <v>96326942</v>
      </c>
      <c r="D18" s="442">
        <v>98995487</v>
      </c>
      <c r="E18" s="442">
        <v>96326942</v>
      </c>
      <c r="F18" s="444">
        <v>98995487</v>
      </c>
      <c r="G18" s="209">
        <f t="shared" si="0"/>
        <v>2668545</v>
      </c>
      <c r="J18">
        <v>0</v>
      </c>
      <c r="K18">
        <f t="shared" si="1"/>
        <v>98995487</v>
      </c>
    </row>
    <row r="19" spans="1:11" ht="12.75">
      <c r="A19" s="441">
        <v>11151011</v>
      </c>
      <c r="B19" s="441" t="s">
        <v>708</v>
      </c>
      <c r="C19" s="442">
        <v>112804943</v>
      </c>
      <c r="D19" s="442">
        <v>115929978</v>
      </c>
      <c r="E19" s="442">
        <v>112804943</v>
      </c>
      <c r="F19" s="444">
        <v>115929978</v>
      </c>
      <c r="G19" s="209">
        <f t="shared" si="0"/>
        <v>3125035</v>
      </c>
      <c r="J19">
        <v>0</v>
      </c>
      <c r="K19">
        <f t="shared" si="1"/>
        <v>115929978</v>
      </c>
    </row>
    <row r="20" spans="1:11" ht="12.75">
      <c r="A20" s="441">
        <v>11151013</v>
      </c>
      <c r="B20" s="441" t="s">
        <v>708</v>
      </c>
      <c r="C20" s="442">
        <v>110034063</v>
      </c>
      <c r="D20" s="442">
        <v>113082337</v>
      </c>
      <c r="E20" s="442">
        <v>110034063</v>
      </c>
      <c r="F20" s="444">
        <v>113082337</v>
      </c>
      <c r="G20" s="209">
        <f t="shared" si="0"/>
        <v>3048274</v>
      </c>
      <c r="J20">
        <v>0</v>
      </c>
      <c r="K20">
        <f t="shared" si="1"/>
        <v>113082337</v>
      </c>
    </row>
    <row r="21" spans="1:11" ht="12.75">
      <c r="A21" s="441">
        <v>11151015</v>
      </c>
      <c r="B21" s="441" t="s">
        <v>709</v>
      </c>
      <c r="C21" s="442">
        <v>126328157</v>
      </c>
      <c r="D21" s="442">
        <v>129774515</v>
      </c>
      <c r="E21" s="442">
        <v>126328157</v>
      </c>
      <c r="F21" s="444">
        <v>129774515</v>
      </c>
      <c r="G21" s="209">
        <f t="shared" si="0"/>
        <v>3446358</v>
      </c>
      <c r="J21" t="e">
        <f>VLOOKUP(A21,'BCE DIC 2019'!$A$1:$F$396,6,0)</f>
        <v>#N/A</v>
      </c>
      <c r="K21" t="e">
        <f t="shared" si="1"/>
        <v>#N/A</v>
      </c>
    </row>
    <row r="22" spans="1:11" ht="12.75">
      <c r="A22" s="441">
        <v>11151016</v>
      </c>
      <c r="B22" s="441" t="s">
        <v>709</v>
      </c>
      <c r="C22" s="442">
        <v>266313407</v>
      </c>
      <c r="D22" s="442">
        <v>273578703</v>
      </c>
      <c r="E22" s="442">
        <v>266313407</v>
      </c>
      <c r="F22" s="444">
        <v>273578703</v>
      </c>
      <c r="G22" s="209">
        <f t="shared" si="0"/>
        <v>7265296</v>
      </c>
      <c r="J22" t="e">
        <f>VLOOKUP(A22,'BCE DIC 2019'!$A$1:$F$396,6,0)</f>
        <v>#N/A</v>
      </c>
      <c r="K22" t="e">
        <f t="shared" si="1"/>
        <v>#N/A</v>
      </c>
    </row>
    <row r="23" spans="1:11" ht="12.75">
      <c r="A23" s="441">
        <v>11151017</v>
      </c>
      <c r="B23" s="441" t="s">
        <v>709</v>
      </c>
      <c r="C23" s="442">
        <v>217644297</v>
      </c>
      <c r="D23" s="442">
        <v>0</v>
      </c>
      <c r="E23" s="442">
        <v>0</v>
      </c>
      <c r="F23" s="444">
        <v>217644297</v>
      </c>
      <c r="G23" s="209">
        <f t="shared" si="0"/>
        <v>0</v>
      </c>
      <c r="J23" t="e">
        <f>VLOOKUP(A23,'BCE DIC 2019'!$A$1:$F$396,6,0)</f>
        <v>#N/A</v>
      </c>
      <c r="K23" t="e">
        <f t="shared" si="1"/>
        <v>#N/A</v>
      </c>
    </row>
    <row r="24" spans="1:11" ht="12.75">
      <c r="A24" s="441">
        <v>11151021</v>
      </c>
      <c r="B24" s="441" t="s">
        <v>710</v>
      </c>
      <c r="C24" s="442">
        <v>104295043</v>
      </c>
      <c r="D24" s="442">
        <v>0</v>
      </c>
      <c r="E24" s="442">
        <v>0</v>
      </c>
      <c r="F24" s="444">
        <v>104295043</v>
      </c>
      <c r="G24" s="209">
        <f t="shared" si="0"/>
        <v>0</v>
      </c>
      <c r="J24" t="e">
        <f>VLOOKUP(A24,'BCE DIC 2019'!$A$1:$F$396,6,0)</f>
        <v>#N/A</v>
      </c>
      <c r="K24" t="e">
        <f t="shared" si="1"/>
        <v>#N/A</v>
      </c>
    </row>
    <row r="25" spans="1:11" ht="12.75">
      <c r="A25" s="441">
        <v>111515</v>
      </c>
      <c r="B25" s="441" t="s">
        <v>268</v>
      </c>
      <c r="C25" s="442">
        <v>2221273</v>
      </c>
      <c r="D25" s="442">
        <v>25845</v>
      </c>
      <c r="E25" s="442">
        <v>0</v>
      </c>
      <c r="F25" s="444">
        <v>2247118</v>
      </c>
      <c r="G25" s="209">
        <f t="shared" si="0"/>
        <v>25845</v>
      </c>
      <c r="J25" t="e">
        <f>VLOOKUP(A25,'BCE DIC 2019'!$A$1:$F$396,6,0)</f>
        <v>#N/A</v>
      </c>
      <c r="K25" t="e">
        <f t="shared" si="1"/>
        <v>#N/A</v>
      </c>
    </row>
    <row r="26" spans="1:11" ht="12.75">
      <c r="A26" s="441">
        <v>11151501</v>
      </c>
      <c r="B26" s="441" t="s">
        <v>269</v>
      </c>
      <c r="C26" s="442">
        <v>2221273</v>
      </c>
      <c r="D26" s="442">
        <v>25845</v>
      </c>
      <c r="E26" s="442">
        <v>0</v>
      </c>
      <c r="F26" s="444">
        <v>2247118</v>
      </c>
      <c r="G26" s="209">
        <f t="shared" si="0"/>
        <v>25845</v>
      </c>
      <c r="J26" t="e">
        <f>VLOOKUP(A26,'BCE DIC 2019'!$A$1:$F$396,6,0)</f>
        <v>#N/A</v>
      </c>
      <c r="K26" t="e">
        <f t="shared" si="1"/>
        <v>#N/A</v>
      </c>
    </row>
    <row r="27" spans="1:11" ht="12.75">
      <c r="A27" s="441">
        <v>1200</v>
      </c>
      <c r="B27" s="441" t="s">
        <v>31</v>
      </c>
      <c r="C27" s="442">
        <v>42169569</v>
      </c>
      <c r="D27" s="442">
        <v>0</v>
      </c>
      <c r="E27" s="442">
        <v>0</v>
      </c>
      <c r="F27" s="444">
        <v>42169569</v>
      </c>
      <c r="G27" s="209">
        <f t="shared" si="0"/>
        <v>0</v>
      </c>
      <c r="J27">
        <f>VLOOKUP(A27,'BCE DIC 2019'!$A$1:$F$396,6,0)</f>
        <v>1365916264</v>
      </c>
      <c r="K27">
        <f t="shared" si="1"/>
        <v>-1323746695</v>
      </c>
    </row>
    <row r="28" spans="1:11" ht="12.75">
      <c r="A28" s="441">
        <v>1226</v>
      </c>
      <c r="B28" s="441" t="s">
        <v>272</v>
      </c>
      <c r="C28" s="442">
        <v>42169569</v>
      </c>
      <c r="D28" s="442">
        <v>0</v>
      </c>
      <c r="E28" s="442">
        <v>0</v>
      </c>
      <c r="F28" s="444">
        <v>42169569</v>
      </c>
      <c r="G28" s="209">
        <f t="shared" si="0"/>
        <v>0</v>
      </c>
      <c r="J28">
        <f>VLOOKUP(A28,'BCE DIC 2019'!$A$1:$F$396,6,0)</f>
        <v>27722272</v>
      </c>
      <c r="K28">
        <f t="shared" si="1"/>
        <v>14447297</v>
      </c>
    </row>
    <row r="29" spans="1:11" ht="12.75">
      <c r="A29" s="441">
        <v>122602</v>
      </c>
      <c r="B29" s="441" t="s">
        <v>273</v>
      </c>
      <c r="C29" s="442">
        <v>42169569</v>
      </c>
      <c r="D29" s="442">
        <v>0</v>
      </c>
      <c r="E29" s="442">
        <v>0</v>
      </c>
      <c r="F29" s="444">
        <v>42169569</v>
      </c>
      <c r="G29" s="209">
        <f t="shared" si="0"/>
        <v>0</v>
      </c>
      <c r="J29">
        <f>VLOOKUP(A29,'BCE DIC 2019'!$A$1:$F$396,6,0)</f>
        <v>27722272</v>
      </c>
      <c r="K29">
        <f t="shared" si="1"/>
        <v>14447297</v>
      </c>
    </row>
    <row r="30" spans="1:11" ht="12.75">
      <c r="A30" s="441">
        <v>12014503</v>
      </c>
      <c r="B30" s="441" t="s">
        <v>274</v>
      </c>
      <c r="C30" s="442">
        <v>39169569</v>
      </c>
      <c r="D30" s="442">
        <v>0</v>
      </c>
      <c r="E30" s="442">
        <v>0</v>
      </c>
      <c r="F30" s="444">
        <v>39169569</v>
      </c>
      <c r="G30" s="209">
        <f t="shared" si="0"/>
        <v>0</v>
      </c>
      <c r="J30">
        <f>VLOOKUP(A30,'BCE DIC 2019'!$A$1:$F$396,6,0)</f>
        <v>25237924</v>
      </c>
      <c r="K30">
        <f t="shared" si="1"/>
        <v>13931645</v>
      </c>
    </row>
    <row r="31" spans="1:11" ht="12.75">
      <c r="A31" s="441">
        <v>12014504</v>
      </c>
      <c r="B31" s="441" t="s">
        <v>275</v>
      </c>
      <c r="C31" s="442">
        <v>3000000</v>
      </c>
      <c r="D31" s="442">
        <v>0</v>
      </c>
      <c r="E31" s="442">
        <v>0</v>
      </c>
      <c r="F31" s="444">
        <v>3000000</v>
      </c>
      <c r="G31" s="209">
        <f t="shared" si="0"/>
        <v>0</v>
      </c>
      <c r="J31">
        <f>VLOOKUP(A31,'BCE DIC 2019'!$A$1:$F$396,6,0)</f>
        <v>2484348</v>
      </c>
      <c r="K31">
        <f t="shared" si="1"/>
        <v>515652</v>
      </c>
    </row>
    <row r="32" spans="1:11" ht="12.75">
      <c r="A32" s="441">
        <v>1400</v>
      </c>
      <c r="B32" s="441" t="s">
        <v>276</v>
      </c>
      <c r="C32" s="442">
        <v>6123233795.36</v>
      </c>
      <c r="D32" s="442">
        <v>1264987145.14</v>
      </c>
      <c r="E32" s="442">
        <v>1158866931.67</v>
      </c>
      <c r="F32" s="444">
        <v>6229354008.83</v>
      </c>
      <c r="G32" s="209">
        <f t="shared" si="0"/>
        <v>106120213.47000027</v>
      </c>
      <c r="J32">
        <f>VLOOKUP(A32,'BCE DIC 2019'!$A$1:$F$396,6,0)</f>
        <v>4737144363.02</v>
      </c>
      <c r="K32">
        <f t="shared" si="1"/>
        <v>1492209645.8099995</v>
      </c>
    </row>
    <row r="33" spans="1:11" ht="12.75">
      <c r="A33" s="441">
        <v>1411</v>
      </c>
      <c r="B33" s="441" t="s">
        <v>277</v>
      </c>
      <c r="C33" s="442">
        <v>188407103</v>
      </c>
      <c r="D33" s="442">
        <v>0</v>
      </c>
      <c r="E33" s="442">
        <v>1469959</v>
      </c>
      <c r="F33" s="444">
        <v>186937144</v>
      </c>
      <c r="G33" s="209">
        <f t="shared" si="0"/>
        <v>-1469959</v>
      </c>
      <c r="J33">
        <f>VLOOKUP(A33,'BCE DIC 2019'!$A$1:$F$396,6,0)</f>
        <v>127770186</v>
      </c>
      <c r="K33">
        <f t="shared" si="1"/>
        <v>59166958</v>
      </c>
    </row>
    <row r="34" spans="1:11" ht="12.75">
      <c r="A34" s="441">
        <v>141105</v>
      </c>
      <c r="B34" s="441" t="s">
        <v>278</v>
      </c>
      <c r="C34" s="442">
        <v>188407103</v>
      </c>
      <c r="D34" s="442">
        <v>0</v>
      </c>
      <c r="E34" s="442">
        <v>1469959</v>
      </c>
      <c r="F34" s="444">
        <v>186937144</v>
      </c>
      <c r="G34" s="209">
        <f t="shared" si="0"/>
        <v>-1469959</v>
      </c>
      <c r="J34">
        <f>VLOOKUP(A34,'BCE DIC 2019'!$A$1:$F$396,6,0)</f>
        <v>103914839</v>
      </c>
      <c r="K34">
        <f t="shared" si="1"/>
        <v>83022305</v>
      </c>
    </row>
    <row r="35" spans="1:11" ht="12.75">
      <c r="A35" s="441">
        <v>14110501</v>
      </c>
      <c r="B35" s="441" t="s">
        <v>279</v>
      </c>
      <c r="C35" s="442">
        <v>188407103</v>
      </c>
      <c r="D35" s="442">
        <v>0</v>
      </c>
      <c r="E35" s="442">
        <v>1469959</v>
      </c>
      <c r="F35" s="444">
        <v>186937144</v>
      </c>
      <c r="G35" s="209">
        <f t="shared" si="0"/>
        <v>-1469959</v>
      </c>
      <c r="J35">
        <f>VLOOKUP(A35,'BCE DIC 2019'!$A$1:$F$396,6,0)</f>
        <v>103914839</v>
      </c>
      <c r="K35">
        <f t="shared" si="1"/>
        <v>83022305</v>
      </c>
    </row>
    <row r="36" spans="1:11" ht="12.75">
      <c r="A36" s="441">
        <v>1412</v>
      </c>
      <c r="B36" s="441" t="s">
        <v>282</v>
      </c>
      <c r="C36" s="442">
        <v>1487836652</v>
      </c>
      <c r="D36" s="442">
        <v>138960802</v>
      </c>
      <c r="E36" s="442">
        <v>41699634</v>
      </c>
      <c r="F36" s="444">
        <v>1585097820</v>
      </c>
      <c r="G36" s="209">
        <f t="shared" si="0"/>
        <v>97261168</v>
      </c>
      <c r="J36">
        <f>VLOOKUP(A36,'BCE DIC 2019'!$A$1:$F$396,6,0)</f>
        <v>380965159</v>
      </c>
      <c r="K36">
        <f t="shared" si="1"/>
        <v>1204132661</v>
      </c>
    </row>
    <row r="37" spans="1:11" ht="12.75">
      <c r="A37" s="441">
        <v>141205</v>
      </c>
      <c r="B37" s="441" t="s">
        <v>278</v>
      </c>
      <c r="C37" s="442">
        <v>1487836652</v>
      </c>
      <c r="D37" s="442">
        <v>110000000</v>
      </c>
      <c r="E37" s="442">
        <v>41699634</v>
      </c>
      <c r="F37" s="444">
        <v>1556137018</v>
      </c>
      <c r="G37" s="209">
        <f t="shared" si="0"/>
        <v>68300366</v>
      </c>
      <c r="J37">
        <f>VLOOKUP(A37,'BCE DIC 2019'!$A$1:$F$396,6,0)</f>
        <v>303333090</v>
      </c>
      <c r="K37">
        <f t="shared" si="1"/>
        <v>1252803928</v>
      </c>
    </row>
    <row r="38" spans="1:11" ht="12.75">
      <c r="A38" s="441">
        <v>14120501</v>
      </c>
      <c r="B38" s="441" t="s">
        <v>283</v>
      </c>
      <c r="C38" s="442">
        <v>1487836652</v>
      </c>
      <c r="D38" s="442">
        <v>110000000</v>
      </c>
      <c r="E38" s="442">
        <v>41699634</v>
      </c>
      <c r="F38" s="444">
        <v>1556137018</v>
      </c>
      <c r="G38" s="209">
        <f t="shared" si="0"/>
        <v>68300366</v>
      </c>
      <c r="J38">
        <f>VLOOKUP(A38,'BCE DIC 2019'!$A$1:$F$396,6,0)</f>
        <v>303333090</v>
      </c>
      <c r="K38">
        <f t="shared" si="1"/>
        <v>1252803928</v>
      </c>
    </row>
    <row r="39" spans="1:11" ht="12.75">
      <c r="A39" s="441">
        <v>141210</v>
      </c>
      <c r="B39" s="441" t="s">
        <v>280</v>
      </c>
      <c r="C39" s="442">
        <v>0</v>
      </c>
      <c r="D39" s="442">
        <v>28960802</v>
      </c>
      <c r="E39" s="442">
        <v>0</v>
      </c>
      <c r="F39" s="444">
        <v>28960802</v>
      </c>
      <c r="G39" s="209">
        <f t="shared" si="0"/>
        <v>28960802</v>
      </c>
      <c r="J39">
        <f>VLOOKUP(A39,'BCE DIC 2019'!$A$1:$F$396,6,0)</f>
        <v>77632069</v>
      </c>
      <c r="K39">
        <f t="shared" si="1"/>
        <v>-48671267</v>
      </c>
    </row>
    <row r="40" spans="1:11" ht="12.75">
      <c r="A40" s="441">
        <v>14121001</v>
      </c>
      <c r="B40" s="441" t="s">
        <v>284</v>
      </c>
      <c r="C40" s="442">
        <v>0</v>
      </c>
      <c r="D40" s="442">
        <v>28960802</v>
      </c>
      <c r="E40" s="442">
        <v>0</v>
      </c>
      <c r="F40" s="444">
        <v>28960802</v>
      </c>
      <c r="G40" s="209">
        <f t="shared" si="0"/>
        <v>28960802</v>
      </c>
      <c r="J40">
        <v>0</v>
      </c>
      <c r="K40">
        <f t="shared" si="1"/>
        <v>28960802</v>
      </c>
    </row>
    <row r="41" spans="1:11" ht="12.75">
      <c r="A41" s="441">
        <v>1441</v>
      </c>
      <c r="B41" s="441" t="s">
        <v>287</v>
      </c>
      <c r="C41" s="442">
        <v>1359897411</v>
      </c>
      <c r="D41" s="442">
        <v>132660244</v>
      </c>
      <c r="E41" s="442">
        <v>116981764</v>
      </c>
      <c r="F41" s="444">
        <v>1375575891</v>
      </c>
      <c r="G41" s="209">
        <f t="shared" si="0"/>
        <v>15678480</v>
      </c>
      <c r="J41">
        <v>0</v>
      </c>
      <c r="K41">
        <f t="shared" si="1"/>
        <v>1375575891</v>
      </c>
    </row>
    <row r="42" spans="1:11" ht="12.75">
      <c r="A42" s="441">
        <v>144105</v>
      </c>
      <c r="B42" s="441" t="s">
        <v>278</v>
      </c>
      <c r="C42" s="442">
        <v>1316348672</v>
      </c>
      <c r="D42" s="442">
        <v>124832134</v>
      </c>
      <c r="E42" s="442">
        <v>77899932</v>
      </c>
      <c r="F42" s="444">
        <v>1363280874</v>
      </c>
      <c r="G42" s="209">
        <f t="shared" si="0"/>
        <v>46932202</v>
      </c>
      <c r="J42">
        <v>0</v>
      </c>
      <c r="K42">
        <f t="shared" si="1"/>
        <v>1363280874</v>
      </c>
    </row>
    <row r="43" spans="1:11" ht="12.75">
      <c r="A43" s="441">
        <v>14410501</v>
      </c>
      <c r="B43" s="441" t="s">
        <v>288</v>
      </c>
      <c r="C43" s="442">
        <v>1316348672</v>
      </c>
      <c r="D43" s="442">
        <v>124832134</v>
      </c>
      <c r="E43" s="442">
        <v>77899932</v>
      </c>
      <c r="F43" s="444">
        <v>1363280874</v>
      </c>
      <c r="G43" s="209">
        <f t="shared" si="0"/>
        <v>46932202</v>
      </c>
      <c r="J43">
        <v>0</v>
      </c>
      <c r="K43">
        <f t="shared" si="1"/>
        <v>1363280874</v>
      </c>
    </row>
    <row r="44" spans="1:11" ht="12.75">
      <c r="A44" s="441">
        <v>144110</v>
      </c>
      <c r="B44" s="441" t="s">
        <v>280</v>
      </c>
      <c r="C44" s="442">
        <v>35129894</v>
      </c>
      <c r="D44" s="442">
        <v>0</v>
      </c>
      <c r="E44" s="442">
        <v>30662987</v>
      </c>
      <c r="F44" s="444">
        <v>4466907</v>
      </c>
      <c r="G44" s="209">
        <f t="shared" si="0"/>
        <v>-30662987</v>
      </c>
      <c r="J44">
        <f>VLOOKUP(A44,'BCE DIC 2019'!$A$1:$F$396,6,0)</f>
        <v>71271768</v>
      </c>
      <c r="K44">
        <f t="shared" si="1"/>
        <v>-66804861</v>
      </c>
    </row>
    <row r="45" spans="1:11" ht="12.75">
      <c r="A45" s="441">
        <v>14411001</v>
      </c>
      <c r="B45" s="441" t="s">
        <v>289</v>
      </c>
      <c r="C45" s="442">
        <v>35129894</v>
      </c>
      <c r="D45" s="442">
        <v>0</v>
      </c>
      <c r="E45" s="442">
        <v>30662987</v>
      </c>
      <c r="F45" s="444">
        <v>4466907</v>
      </c>
      <c r="G45" s="209">
        <f t="shared" si="0"/>
        <v>-30662987</v>
      </c>
      <c r="J45">
        <f>VLOOKUP(A45,'BCE DIC 2019'!$A$1:$F$396,6,0)</f>
        <v>71271768</v>
      </c>
      <c r="K45">
        <f t="shared" si="1"/>
        <v>-66804861</v>
      </c>
    </row>
    <row r="46" spans="1:11" ht="12.75">
      <c r="A46" s="441">
        <v>144115</v>
      </c>
      <c r="B46" s="441" t="s">
        <v>285</v>
      </c>
      <c r="C46" s="442">
        <v>8418845</v>
      </c>
      <c r="D46" s="442">
        <v>7828110</v>
      </c>
      <c r="E46" s="442">
        <v>8418845</v>
      </c>
      <c r="F46" s="444">
        <v>7828110</v>
      </c>
      <c r="G46" s="209">
        <f t="shared" si="0"/>
        <v>-590735</v>
      </c>
      <c r="J46">
        <f>VLOOKUP(A46,'BCE DIC 2019'!$A$1:$F$396,6,0)</f>
        <v>25562438</v>
      </c>
      <c r="K46">
        <f t="shared" si="1"/>
        <v>-17734328</v>
      </c>
    </row>
    <row r="47" spans="1:11" ht="12.75">
      <c r="A47" s="441">
        <v>14411501</v>
      </c>
      <c r="B47" s="441" t="s">
        <v>290</v>
      </c>
      <c r="C47" s="442">
        <v>8418845</v>
      </c>
      <c r="D47" s="442">
        <v>7828110</v>
      </c>
      <c r="E47" s="442">
        <v>8418845</v>
      </c>
      <c r="F47" s="444">
        <v>7828110</v>
      </c>
      <c r="G47" s="209">
        <f t="shared" si="0"/>
        <v>-590735</v>
      </c>
      <c r="J47">
        <f>VLOOKUP(A47,'BCE DIC 2019'!$A$1:$F$396,6,0)</f>
        <v>25562438</v>
      </c>
      <c r="K47">
        <f t="shared" si="1"/>
        <v>-17734328</v>
      </c>
    </row>
    <row r="48" spans="1:11" ht="12.75">
      <c r="A48" s="441">
        <v>1442</v>
      </c>
      <c r="B48" s="441" t="s">
        <v>293</v>
      </c>
      <c r="C48" s="442">
        <v>3232162051</v>
      </c>
      <c r="D48" s="442">
        <v>869933683</v>
      </c>
      <c r="E48" s="442">
        <v>882962483.16</v>
      </c>
      <c r="F48" s="444">
        <v>3219133250.84</v>
      </c>
      <c r="G48" s="209">
        <f t="shared" si="0"/>
        <v>-13028800.159999847</v>
      </c>
      <c r="J48">
        <f>VLOOKUP(A48,'BCE DIC 2019'!$A$1:$F$396,6,0)</f>
        <v>2928761043.93</v>
      </c>
      <c r="K48">
        <f t="shared" si="1"/>
        <v>290372206.9100003</v>
      </c>
    </row>
    <row r="49" spans="1:11" ht="12.75">
      <c r="A49" s="441">
        <v>144205</v>
      </c>
      <c r="B49" s="441" t="s">
        <v>278</v>
      </c>
      <c r="C49" s="442">
        <v>2425744764</v>
      </c>
      <c r="D49" s="442">
        <v>684235854</v>
      </c>
      <c r="E49" s="442">
        <v>421409861.16</v>
      </c>
      <c r="F49" s="444">
        <v>2688570756.84</v>
      </c>
      <c r="G49" s="209">
        <f t="shared" si="0"/>
        <v>262825992.84000015</v>
      </c>
      <c r="J49">
        <f>VLOOKUP(A49,'BCE DIC 2019'!$A$1:$F$396,6,0)</f>
        <v>2419373493.93</v>
      </c>
      <c r="K49">
        <f t="shared" si="1"/>
        <v>269197262.9100003</v>
      </c>
    </row>
    <row r="50" spans="1:11" ht="12.75">
      <c r="A50" s="441">
        <v>14420501</v>
      </c>
      <c r="B50" s="441" t="s">
        <v>294</v>
      </c>
      <c r="C50" s="442">
        <v>2425744764</v>
      </c>
      <c r="D50" s="442">
        <v>684235854</v>
      </c>
      <c r="E50" s="442">
        <v>421409861.16</v>
      </c>
      <c r="F50" s="444">
        <v>2688570756.84</v>
      </c>
      <c r="G50" s="209">
        <f t="shared" si="0"/>
        <v>262825992.84000015</v>
      </c>
      <c r="J50">
        <f>VLOOKUP(A50,'BCE DIC 2019'!$A$1:$F$396,6,0)</f>
        <v>2419373493.93</v>
      </c>
      <c r="K50">
        <f t="shared" si="1"/>
        <v>269197262.9100003</v>
      </c>
    </row>
    <row r="51" spans="1:11" ht="12.75">
      <c r="A51" s="441">
        <v>144210</v>
      </c>
      <c r="B51" s="441" t="s">
        <v>280</v>
      </c>
      <c r="C51" s="442">
        <v>261800603</v>
      </c>
      <c r="D51" s="442">
        <v>128750265</v>
      </c>
      <c r="E51" s="442">
        <v>231168832</v>
      </c>
      <c r="F51" s="444">
        <v>159382036</v>
      </c>
      <c r="G51" s="209">
        <f t="shared" si="0"/>
        <v>-102418567</v>
      </c>
      <c r="J51">
        <f>VLOOKUP(A51,'BCE DIC 2019'!$A$1:$F$396,6,0)</f>
        <v>152150590</v>
      </c>
      <c r="K51">
        <f t="shared" si="1"/>
        <v>7231446</v>
      </c>
    </row>
    <row r="52" spans="1:11" ht="12.75">
      <c r="A52" s="441">
        <v>14421001</v>
      </c>
      <c r="B52" s="441" t="s">
        <v>295</v>
      </c>
      <c r="C52" s="442">
        <v>261800603</v>
      </c>
      <c r="D52" s="442">
        <v>128750265</v>
      </c>
      <c r="E52" s="442">
        <v>231168832</v>
      </c>
      <c r="F52" s="444">
        <v>159382036</v>
      </c>
      <c r="G52" s="209">
        <f t="shared" si="0"/>
        <v>-102418567</v>
      </c>
      <c r="J52">
        <f>VLOOKUP(A52,'BCE DIC 2019'!$A$1:$F$396,6,0)</f>
        <v>152150590</v>
      </c>
      <c r="K52">
        <f t="shared" si="1"/>
        <v>7231446</v>
      </c>
    </row>
    <row r="53" spans="1:11" ht="12.75">
      <c r="A53" s="441">
        <v>144215</v>
      </c>
      <c r="B53" s="441" t="s">
        <v>285</v>
      </c>
      <c r="C53" s="442">
        <v>179515061</v>
      </c>
      <c r="D53" s="442">
        <v>44110877</v>
      </c>
      <c r="E53" s="442">
        <v>172573635</v>
      </c>
      <c r="F53" s="444">
        <v>51052303</v>
      </c>
      <c r="G53" s="209">
        <f t="shared" si="0"/>
        <v>-128462758</v>
      </c>
      <c r="J53">
        <v>0</v>
      </c>
      <c r="K53">
        <f t="shared" si="1"/>
        <v>51052303</v>
      </c>
    </row>
    <row r="54" spans="1:11" ht="12.75">
      <c r="A54" s="441">
        <v>14421501</v>
      </c>
      <c r="B54" s="441" t="s">
        <v>296</v>
      </c>
      <c r="C54" s="442">
        <v>179515061</v>
      </c>
      <c r="D54" s="442">
        <v>44110877</v>
      </c>
      <c r="E54" s="442">
        <v>172573635</v>
      </c>
      <c r="F54" s="444">
        <v>51052303</v>
      </c>
      <c r="G54" s="209">
        <f t="shared" si="0"/>
        <v>-128462758</v>
      </c>
      <c r="J54">
        <v>0</v>
      </c>
      <c r="K54">
        <f t="shared" si="1"/>
        <v>51052303</v>
      </c>
    </row>
    <row r="55" spans="1:11" ht="12.75">
      <c r="A55" s="441">
        <v>144220</v>
      </c>
      <c r="B55" s="441" t="s">
        <v>291</v>
      </c>
      <c r="C55" s="442">
        <v>181123178</v>
      </c>
      <c r="D55" s="442">
        <v>9670258</v>
      </c>
      <c r="E55" s="442">
        <v>48905596</v>
      </c>
      <c r="F55" s="444">
        <v>141887840</v>
      </c>
      <c r="G55" s="209">
        <f t="shared" si="0"/>
        <v>-39235338</v>
      </c>
      <c r="J55">
        <f>VLOOKUP(A55,'BCE DIC 2019'!$A$1:$F$396,6,0)</f>
        <v>169803031</v>
      </c>
      <c r="K55">
        <f t="shared" si="1"/>
        <v>-27915191</v>
      </c>
    </row>
    <row r="56" spans="1:11" ht="12.75">
      <c r="A56" s="441">
        <v>14422001</v>
      </c>
      <c r="B56" s="441" t="s">
        <v>297</v>
      </c>
      <c r="C56" s="442">
        <v>181123178</v>
      </c>
      <c r="D56" s="442">
        <v>9670258</v>
      </c>
      <c r="E56" s="442">
        <v>48905596</v>
      </c>
      <c r="F56" s="444">
        <v>141887840</v>
      </c>
      <c r="G56" s="209">
        <f t="shared" si="0"/>
        <v>-39235338</v>
      </c>
      <c r="J56">
        <f>VLOOKUP(A56,'BCE DIC 2019'!$A$1:$F$396,6,0)</f>
        <v>169803031</v>
      </c>
      <c r="K56">
        <f t="shared" si="1"/>
        <v>-27915191</v>
      </c>
    </row>
    <row r="57" spans="1:11" ht="12.75">
      <c r="A57" s="441">
        <v>144225</v>
      </c>
      <c r="B57" s="441" t="s">
        <v>286</v>
      </c>
      <c r="C57" s="442">
        <v>183978445</v>
      </c>
      <c r="D57" s="442">
        <v>3166429</v>
      </c>
      <c r="E57" s="442">
        <v>8904559</v>
      </c>
      <c r="F57" s="444">
        <v>178240315</v>
      </c>
      <c r="G57" s="209">
        <f t="shared" si="0"/>
        <v>-5738130</v>
      </c>
      <c r="J57">
        <f>VLOOKUP(A57,'BCE DIC 2019'!$A$1:$F$396,6,0)</f>
        <v>134779273</v>
      </c>
      <c r="K57">
        <f t="shared" si="1"/>
        <v>43461042</v>
      </c>
    </row>
    <row r="58" spans="1:11" ht="12.75">
      <c r="A58" s="441">
        <v>14422501</v>
      </c>
      <c r="B58" s="441" t="s">
        <v>298</v>
      </c>
      <c r="C58" s="442">
        <v>183978445</v>
      </c>
      <c r="D58" s="442">
        <v>3166429</v>
      </c>
      <c r="E58" s="442">
        <v>8904559</v>
      </c>
      <c r="F58" s="444">
        <v>178240315</v>
      </c>
      <c r="G58" s="209">
        <f t="shared" si="0"/>
        <v>-5738130</v>
      </c>
      <c r="J58">
        <f>VLOOKUP(A58,'BCE DIC 2019'!$A$1:$F$396,6,0)</f>
        <v>134779273</v>
      </c>
      <c r="K58">
        <f t="shared" si="1"/>
        <v>43461042</v>
      </c>
    </row>
    <row r="59" spans="1:11" ht="12.75">
      <c r="A59" s="441">
        <v>1443</v>
      </c>
      <c r="B59" s="441" t="s">
        <v>299</v>
      </c>
      <c r="C59" s="442">
        <v>86982686</v>
      </c>
      <c r="D59" s="442">
        <v>89956762.84</v>
      </c>
      <c r="E59" s="442">
        <v>97378001.84</v>
      </c>
      <c r="F59" s="444">
        <v>79561447</v>
      </c>
      <c r="G59" s="209">
        <f t="shared" si="0"/>
        <v>-7421239</v>
      </c>
      <c r="J59">
        <f>VLOOKUP(A59,'BCE DIC 2019'!$A$1:$F$396,6,0)</f>
        <v>45527835</v>
      </c>
      <c r="K59">
        <f t="shared" si="1"/>
        <v>34033612</v>
      </c>
    </row>
    <row r="60" spans="1:11" ht="12.75">
      <c r="A60" s="441">
        <v>144305</v>
      </c>
      <c r="B60" s="441" t="s">
        <v>278</v>
      </c>
      <c r="C60" s="442">
        <v>26807575</v>
      </c>
      <c r="D60" s="442">
        <v>84306072.84</v>
      </c>
      <c r="E60" s="442">
        <v>81413478.84</v>
      </c>
      <c r="F60" s="444">
        <v>29700169</v>
      </c>
      <c r="G60" s="209">
        <f t="shared" si="0"/>
        <v>2892594</v>
      </c>
      <c r="J60">
        <f>VLOOKUP(A60,'BCE DIC 2019'!$A$1:$F$396,6,0)</f>
        <v>32250710</v>
      </c>
      <c r="K60">
        <f t="shared" si="1"/>
        <v>-2550541</v>
      </c>
    </row>
    <row r="61" spans="1:11" ht="12.75">
      <c r="A61" s="441">
        <v>1655180101</v>
      </c>
      <c r="B61" s="441" t="s">
        <v>300</v>
      </c>
      <c r="C61" s="442">
        <v>25695308</v>
      </c>
      <c r="D61" s="442">
        <v>82466194.84</v>
      </c>
      <c r="E61" s="442">
        <v>79554005.84</v>
      </c>
      <c r="F61" s="444">
        <v>28607497</v>
      </c>
      <c r="G61" s="209">
        <f t="shared" si="0"/>
        <v>2912189</v>
      </c>
      <c r="J61">
        <f>VLOOKUP(A61,'BCE DIC 2019'!$A$1:$F$396,6,0)</f>
        <v>31936402</v>
      </c>
      <c r="K61">
        <f t="shared" si="1"/>
        <v>-3328905</v>
      </c>
    </row>
    <row r="62" spans="1:11" ht="12.75">
      <c r="A62" s="441">
        <v>1655180201</v>
      </c>
      <c r="B62" s="441" t="s">
        <v>301</v>
      </c>
      <c r="C62" s="442">
        <v>1112267</v>
      </c>
      <c r="D62" s="442">
        <v>1839878</v>
      </c>
      <c r="E62" s="442">
        <v>1859473</v>
      </c>
      <c r="F62" s="444">
        <v>1092672</v>
      </c>
      <c r="G62" s="209">
        <f t="shared" si="0"/>
        <v>-19595</v>
      </c>
      <c r="J62">
        <f>VLOOKUP(A62,'BCE DIC 2019'!$A$1:$F$396,6,0)</f>
        <v>314308</v>
      </c>
      <c r="K62">
        <f t="shared" si="1"/>
        <v>778364</v>
      </c>
    </row>
    <row r="63" spans="1:11" ht="12.75">
      <c r="A63" s="441">
        <v>144310</v>
      </c>
      <c r="B63" s="441" t="s">
        <v>280</v>
      </c>
      <c r="C63" s="442">
        <v>5865838</v>
      </c>
      <c r="D63" s="442">
        <v>3291529</v>
      </c>
      <c r="E63" s="442">
        <v>5385105</v>
      </c>
      <c r="F63" s="444">
        <v>3772262</v>
      </c>
      <c r="G63" s="209">
        <f t="shared" si="0"/>
        <v>-2093576</v>
      </c>
      <c r="J63">
        <f>VLOOKUP(A63,'BCE DIC 2019'!$A$1:$F$396,6,0)</f>
        <v>4753649</v>
      </c>
      <c r="K63">
        <f t="shared" si="1"/>
        <v>-981387</v>
      </c>
    </row>
    <row r="64" spans="1:11" ht="12.75">
      <c r="A64" s="441">
        <v>1655220101</v>
      </c>
      <c r="B64" s="441" t="s">
        <v>302</v>
      </c>
      <c r="C64" s="442">
        <v>5630920</v>
      </c>
      <c r="D64" s="442">
        <v>3177442</v>
      </c>
      <c r="E64" s="442">
        <v>5157660</v>
      </c>
      <c r="F64" s="444">
        <v>3650702</v>
      </c>
      <c r="G64" s="209">
        <f t="shared" si="0"/>
        <v>-1980218</v>
      </c>
      <c r="J64">
        <f>VLOOKUP(A64,'BCE DIC 2019'!$A$1:$F$396,6,0)</f>
        <v>4679585</v>
      </c>
      <c r="K64">
        <f t="shared" si="1"/>
        <v>-1028883</v>
      </c>
    </row>
    <row r="65" spans="1:11" ht="12.75">
      <c r="A65" s="441">
        <v>1655220201</v>
      </c>
      <c r="B65" s="441" t="s">
        <v>303</v>
      </c>
      <c r="C65" s="442">
        <v>234918</v>
      </c>
      <c r="D65" s="442">
        <v>114087</v>
      </c>
      <c r="E65" s="442">
        <v>227445</v>
      </c>
      <c r="F65" s="444">
        <v>121560</v>
      </c>
      <c r="G65" s="209">
        <f t="shared" si="0"/>
        <v>-113358</v>
      </c>
      <c r="J65">
        <f>VLOOKUP(A65,'BCE DIC 2019'!$A$1:$F$396,6,0)</f>
        <v>74064</v>
      </c>
      <c r="K65">
        <f t="shared" si="1"/>
        <v>47496</v>
      </c>
    </row>
    <row r="66" spans="1:11" ht="12.75">
      <c r="A66" s="441">
        <v>144315</v>
      </c>
      <c r="B66" s="441" t="s">
        <v>285</v>
      </c>
      <c r="C66" s="442">
        <v>6524227</v>
      </c>
      <c r="D66" s="442">
        <v>1683137</v>
      </c>
      <c r="E66" s="442">
        <v>6456748</v>
      </c>
      <c r="F66" s="444">
        <v>1750616</v>
      </c>
      <c r="G66" s="209">
        <f t="shared" si="0"/>
        <v>-4773611</v>
      </c>
      <c r="J66">
        <f>VLOOKUP(A66,'BCE DIC 2019'!$A$1:$F$396,6,0)</f>
        <v>888297</v>
      </c>
      <c r="K66">
        <f t="shared" si="1"/>
        <v>862319</v>
      </c>
    </row>
    <row r="67" spans="1:11" ht="12.75">
      <c r="A67" s="441">
        <v>1655240101</v>
      </c>
      <c r="B67" s="441" t="s">
        <v>304</v>
      </c>
      <c r="C67" s="442">
        <v>6320809</v>
      </c>
      <c r="D67" s="442">
        <v>1514315</v>
      </c>
      <c r="E67" s="442">
        <v>6261149</v>
      </c>
      <c r="F67" s="444">
        <v>1573975</v>
      </c>
      <c r="G67" s="209">
        <f aca="true" t="shared" si="2" ref="G67:G130">+F67-C67</f>
        <v>-4746834</v>
      </c>
      <c r="J67">
        <f>VLOOKUP(A67,'BCE DIC 2019'!$A$1:$F$396,6,0)</f>
        <v>878623</v>
      </c>
      <c r="K67">
        <f aca="true" t="shared" si="3" ref="K67:K130">+F67-J67</f>
        <v>695352</v>
      </c>
    </row>
    <row r="68" spans="1:11" ht="12.75">
      <c r="A68" s="441">
        <v>1655240201</v>
      </c>
      <c r="B68" s="441" t="s">
        <v>305</v>
      </c>
      <c r="C68" s="442">
        <v>203418</v>
      </c>
      <c r="D68" s="442">
        <v>168822</v>
      </c>
      <c r="E68" s="442">
        <v>195599</v>
      </c>
      <c r="F68" s="444">
        <v>176641</v>
      </c>
      <c r="G68" s="209">
        <f t="shared" si="2"/>
        <v>-26777</v>
      </c>
      <c r="J68">
        <f>VLOOKUP(A68,'BCE DIC 2019'!$A$1:$F$396,6,0)</f>
        <v>9674</v>
      </c>
      <c r="K68">
        <f t="shared" si="3"/>
        <v>166967</v>
      </c>
    </row>
    <row r="69" spans="1:11" ht="12.75">
      <c r="A69" s="441">
        <v>144320</v>
      </c>
      <c r="B69" s="441" t="s">
        <v>291</v>
      </c>
      <c r="C69" s="442">
        <v>7246264</v>
      </c>
      <c r="D69" s="442">
        <v>267440</v>
      </c>
      <c r="E69" s="442">
        <v>1479146</v>
      </c>
      <c r="F69" s="444">
        <v>6034558</v>
      </c>
      <c r="G69" s="209">
        <f t="shared" si="2"/>
        <v>-1211706</v>
      </c>
      <c r="J69">
        <f>VLOOKUP(A69,'BCE DIC 2019'!$A$1:$F$396,6,0)</f>
        <v>6282889</v>
      </c>
      <c r="K69">
        <f t="shared" si="3"/>
        <v>-248331</v>
      </c>
    </row>
    <row r="70" spans="1:11" ht="12.75">
      <c r="A70" s="441">
        <v>1655260101</v>
      </c>
      <c r="B70" s="441" t="s">
        <v>306</v>
      </c>
      <c r="C70" s="442">
        <v>7059109</v>
      </c>
      <c r="D70" s="442">
        <v>243437</v>
      </c>
      <c r="E70" s="442">
        <v>1349783</v>
      </c>
      <c r="F70" s="444">
        <v>5952763</v>
      </c>
      <c r="G70" s="209">
        <f t="shared" si="2"/>
        <v>-1106346</v>
      </c>
      <c r="J70">
        <f>VLOOKUP(A70,'BCE DIC 2019'!$A$1:$F$396,6,0)</f>
        <v>5963888</v>
      </c>
      <c r="K70">
        <f t="shared" si="3"/>
        <v>-11125</v>
      </c>
    </row>
    <row r="71" spans="1:11" ht="12.75">
      <c r="A71" s="441">
        <v>1655260201</v>
      </c>
      <c r="B71" s="441" t="s">
        <v>307</v>
      </c>
      <c r="C71" s="442">
        <v>187155</v>
      </c>
      <c r="D71" s="442">
        <v>24003</v>
      </c>
      <c r="E71" s="442">
        <v>129363</v>
      </c>
      <c r="F71" s="444">
        <v>81795</v>
      </c>
      <c r="G71" s="209">
        <f t="shared" si="2"/>
        <v>-105360</v>
      </c>
      <c r="J71">
        <f>VLOOKUP(A71,'BCE DIC 2019'!$A$1:$F$396,6,0)</f>
        <v>319001</v>
      </c>
      <c r="K71">
        <f t="shared" si="3"/>
        <v>-237206</v>
      </c>
    </row>
    <row r="72" spans="1:11" ht="12.75">
      <c r="A72" s="441">
        <v>144325</v>
      </c>
      <c r="B72" s="441" t="s">
        <v>286</v>
      </c>
      <c r="C72" s="442">
        <v>10766322</v>
      </c>
      <c r="D72" s="442">
        <v>404784</v>
      </c>
      <c r="E72" s="442">
        <v>618067</v>
      </c>
      <c r="F72" s="444">
        <v>10553039</v>
      </c>
      <c r="G72" s="209">
        <f t="shared" si="2"/>
        <v>-213283</v>
      </c>
      <c r="J72">
        <f>VLOOKUP(A72,'BCE DIC 2019'!$A$1:$F$396,6,0)</f>
        <v>1352290</v>
      </c>
      <c r="K72">
        <f t="shared" si="3"/>
        <v>9200749</v>
      </c>
    </row>
    <row r="73" spans="1:11" ht="12.75">
      <c r="A73" s="441">
        <v>1655280101</v>
      </c>
      <c r="B73" s="441" t="s">
        <v>308</v>
      </c>
      <c r="C73" s="442">
        <v>10711940</v>
      </c>
      <c r="D73" s="442">
        <v>394288</v>
      </c>
      <c r="E73" s="442">
        <v>600059</v>
      </c>
      <c r="F73" s="444">
        <v>10506169</v>
      </c>
      <c r="G73" s="209">
        <f t="shared" si="2"/>
        <v>-205771</v>
      </c>
      <c r="J73">
        <f>VLOOKUP(A73,'BCE DIC 2019'!$A$1:$F$396,6,0)</f>
        <v>1337063</v>
      </c>
      <c r="K73">
        <f t="shared" si="3"/>
        <v>9169106</v>
      </c>
    </row>
    <row r="74" spans="1:11" ht="12.75">
      <c r="A74" s="441">
        <v>1655280201</v>
      </c>
      <c r="B74" s="441" t="s">
        <v>309</v>
      </c>
      <c r="C74" s="442">
        <v>54382</v>
      </c>
      <c r="D74" s="442">
        <v>10496</v>
      </c>
      <c r="E74" s="442">
        <v>18008</v>
      </c>
      <c r="F74" s="444">
        <v>46870</v>
      </c>
      <c r="G74" s="209">
        <f t="shared" si="2"/>
        <v>-7512</v>
      </c>
      <c r="J74">
        <f>VLOOKUP(A74,'BCE DIC 2019'!$A$1:$F$396,6,0)</f>
        <v>15227</v>
      </c>
      <c r="K74">
        <f t="shared" si="3"/>
        <v>31643</v>
      </c>
    </row>
    <row r="75" spans="1:11" ht="12.75">
      <c r="A75" s="441">
        <v>144330</v>
      </c>
      <c r="B75" s="441" t="s">
        <v>310</v>
      </c>
      <c r="C75" s="442">
        <v>29772460</v>
      </c>
      <c r="D75" s="442">
        <v>3800</v>
      </c>
      <c r="E75" s="442">
        <v>2025457</v>
      </c>
      <c r="F75" s="444">
        <v>27750803</v>
      </c>
      <c r="G75" s="209">
        <f t="shared" si="2"/>
        <v>-2021657</v>
      </c>
      <c r="J75" t="e">
        <f>VLOOKUP(A75,'BCE DIC 2019'!$A$1:$F$396,6,0)</f>
        <v>#N/A</v>
      </c>
      <c r="K75" t="e">
        <f t="shared" si="3"/>
        <v>#N/A</v>
      </c>
    </row>
    <row r="76" spans="1:11" ht="12.75">
      <c r="A76" s="441">
        <v>16909506</v>
      </c>
      <c r="B76" s="441" t="s">
        <v>311</v>
      </c>
      <c r="C76" s="442">
        <v>29772460</v>
      </c>
      <c r="D76" s="442">
        <v>3800</v>
      </c>
      <c r="E76" s="442">
        <v>2025457</v>
      </c>
      <c r="F76" s="444">
        <v>27750803</v>
      </c>
      <c r="G76" s="209">
        <f t="shared" si="2"/>
        <v>-2021657</v>
      </c>
      <c r="J76" t="e">
        <f>VLOOKUP(A76,'BCE DIC 2019'!$A$1:$F$396,6,0)</f>
        <v>#N/A</v>
      </c>
      <c r="K76" t="e">
        <f t="shared" si="3"/>
        <v>#N/A</v>
      </c>
    </row>
    <row r="77" spans="1:11" ht="12.75">
      <c r="A77" s="441">
        <v>1444</v>
      </c>
      <c r="B77" s="441" t="s">
        <v>312</v>
      </c>
      <c r="C77" s="442">
        <v>2217952</v>
      </c>
      <c r="D77" s="442">
        <v>0</v>
      </c>
      <c r="E77" s="442">
        <v>140093</v>
      </c>
      <c r="F77" s="444">
        <v>2077859</v>
      </c>
      <c r="G77" s="209">
        <f t="shared" si="2"/>
        <v>-140093</v>
      </c>
      <c r="J77" t="e">
        <f>VLOOKUP(A77,'BCE DIC 2019'!$A$1:$F$396,6,0)</f>
        <v>#N/A</v>
      </c>
      <c r="K77" t="e">
        <f t="shared" si="3"/>
        <v>#N/A</v>
      </c>
    </row>
    <row r="78" spans="1:11" ht="12.75">
      <c r="A78" s="441">
        <v>144430</v>
      </c>
      <c r="B78" s="441" t="s">
        <v>313</v>
      </c>
      <c r="C78" s="442">
        <v>2217952</v>
      </c>
      <c r="D78" s="442">
        <v>0</v>
      </c>
      <c r="E78" s="442">
        <v>140093</v>
      </c>
      <c r="F78" s="444">
        <v>2077859</v>
      </c>
      <c r="G78" s="209">
        <f t="shared" si="2"/>
        <v>-140093</v>
      </c>
      <c r="J78" t="e">
        <f>VLOOKUP(A78,'BCE DIC 2019'!$A$1:$F$396,6,0)</f>
        <v>#N/A</v>
      </c>
      <c r="K78" t="e">
        <f t="shared" si="3"/>
        <v>#N/A</v>
      </c>
    </row>
    <row r="79" spans="1:11" ht="12.75">
      <c r="A79" s="441">
        <v>16059502</v>
      </c>
      <c r="B79" s="441" t="s">
        <v>314</v>
      </c>
      <c r="C79" s="442">
        <v>2217952</v>
      </c>
      <c r="D79" s="442">
        <v>0</v>
      </c>
      <c r="E79" s="442">
        <v>140093</v>
      </c>
      <c r="F79" s="444">
        <v>2077859</v>
      </c>
      <c r="G79" s="209">
        <f t="shared" si="2"/>
        <v>-140093</v>
      </c>
      <c r="J79" t="e">
        <f>VLOOKUP(A79,'BCE DIC 2019'!$A$1:$F$396,6,0)</f>
        <v>#N/A</v>
      </c>
      <c r="K79" t="e">
        <f t="shared" si="3"/>
        <v>#N/A</v>
      </c>
    </row>
    <row r="80" spans="1:11" ht="12.75">
      <c r="A80" s="441">
        <v>1445</v>
      </c>
      <c r="B80" s="441" t="s">
        <v>315</v>
      </c>
      <c r="C80" s="442">
        <v>-115814140.76</v>
      </c>
      <c r="D80" s="442">
        <v>15167581.3</v>
      </c>
      <c r="E80" s="442">
        <v>4752226.67</v>
      </c>
      <c r="F80" s="444">
        <v>-105398786.13</v>
      </c>
      <c r="G80" s="209">
        <f t="shared" si="2"/>
        <v>10415354.63000001</v>
      </c>
      <c r="J80">
        <f>VLOOKUP(A80,'BCE DIC 2019'!$A$1:$F$396,6,0)</f>
        <v>-102864459.43</v>
      </c>
      <c r="K80">
        <f t="shared" si="3"/>
        <v>-2534326.699999988</v>
      </c>
    </row>
    <row r="81" spans="1:11" ht="12.75">
      <c r="A81" s="441">
        <v>144520</v>
      </c>
      <c r="B81" s="441" t="s">
        <v>316</v>
      </c>
      <c r="C81" s="442">
        <v>-985227.45</v>
      </c>
      <c r="D81" s="442">
        <v>931926.29</v>
      </c>
      <c r="E81" s="442">
        <v>558834.77</v>
      </c>
      <c r="F81" s="444">
        <v>-612135.93</v>
      </c>
      <c r="G81" s="209">
        <f t="shared" si="2"/>
        <v>373091.5199999999</v>
      </c>
      <c r="J81">
        <f>VLOOKUP(A81,'BCE DIC 2019'!$A$1:$F$396,6,0)</f>
        <v>-811481.83</v>
      </c>
      <c r="K81">
        <f t="shared" si="3"/>
        <v>199345.8999999999</v>
      </c>
    </row>
    <row r="82" spans="1:11" ht="12.75">
      <c r="A82" s="441">
        <v>14911201</v>
      </c>
      <c r="B82" s="441" t="s">
        <v>788</v>
      </c>
      <c r="C82" s="442">
        <v>-985227.45</v>
      </c>
      <c r="D82" s="442">
        <v>931926.29</v>
      </c>
      <c r="E82" s="442">
        <v>558834.77</v>
      </c>
      <c r="F82" s="444">
        <v>-612135.93</v>
      </c>
      <c r="G82" s="209">
        <f t="shared" si="2"/>
        <v>373091.5199999999</v>
      </c>
      <c r="J82">
        <v>0</v>
      </c>
      <c r="K82">
        <f t="shared" si="3"/>
        <v>-612135.93</v>
      </c>
    </row>
    <row r="83" spans="1:11" ht="12.75">
      <c r="A83" s="441">
        <v>144530</v>
      </c>
      <c r="B83" s="441" t="s">
        <v>318</v>
      </c>
      <c r="C83" s="442">
        <v>-8664263.61</v>
      </c>
      <c r="D83" s="442">
        <v>8664263.61</v>
      </c>
      <c r="E83" s="442">
        <v>1698237</v>
      </c>
      <c r="F83" s="444">
        <v>-1698237</v>
      </c>
      <c r="G83" s="209">
        <f t="shared" si="2"/>
        <v>6966026.609999999</v>
      </c>
      <c r="J83">
        <v>0</v>
      </c>
      <c r="K83">
        <f t="shared" si="3"/>
        <v>-1698237</v>
      </c>
    </row>
    <row r="84" spans="1:11" ht="12.75">
      <c r="A84" s="441">
        <v>14911701</v>
      </c>
      <c r="B84" s="441" t="s">
        <v>789</v>
      </c>
      <c r="C84" s="442">
        <v>-8664263.61</v>
      </c>
      <c r="D84" s="442">
        <v>8664263.61</v>
      </c>
      <c r="E84" s="442">
        <v>1698237</v>
      </c>
      <c r="F84" s="444">
        <v>-1698237</v>
      </c>
      <c r="G84" s="209">
        <f t="shared" si="2"/>
        <v>6966026.609999999</v>
      </c>
      <c r="J84">
        <v>0</v>
      </c>
      <c r="K84">
        <f t="shared" si="3"/>
        <v>-1698237</v>
      </c>
    </row>
    <row r="85" spans="1:11" ht="12.75">
      <c r="A85" s="441">
        <v>144540</v>
      </c>
      <c r="B85" s="441" t="s">
        <v>320</v>
      </c>
      <c r="C85" s="442">
        <v>-21129149.2</v>
      </c>
      <c r="D85" s="442">
        <v>4163785.4</v>
      </c>
      <c r="E85" s="442">
        <v>1231219.4</v>
      </c>
      <c r="F85" s="444">
        <v>-18196583.2</v>
      </c>
      <c r="G85" s="209">
        <f t="shared" si="2"/>
        <v>2932566</v>
      </c>
      <c r="J85">
        <v>0</v>
      </c>
      <c r="K85">
        <f t="shared" si="3"/>
        <v>-18196583.2</v>
      </c>
    </row>
    <row r="86" spans="1:11" ht="12.75">
      <c r="A86" s="441">
        <v>14912201</v>
      </c>
      <c r="B86" s="441" t="s">
        <v>790</v>
      </c>
      <c r="C86" s="442">
        <v>-21129149.2</v>
      </c>
      <c r="D86" s="442">
        <v>4163785.4</v>
      </c>
      <c r="E86" s="442">
        <v>1231219.4</v>
      </c>
      <c r="F86" s="444">
        <v>-18196583.2</v>
      </c>
      <c r="G86" s="209">
        <f t="shared" si="2"/>
        <v>2932566</v>
      </c>
      <c r="J86">
        <v>0</v>
      </c>
      <c r="K86">
        <f t="shared" si="3"/>
        <v>-18196583.2</v>
      </c>
    </row>
    <row r="87" spans="1:12" ht="12.75">
      <c r="A87" s="441">
        <v>144550</v>
      </c>
      <c r="B87" s="441" t="s">
        <v>322</v>
      </c>
      <c r="C87" s="442">
        <v>-85035500.5</v>
      </c>
      <c r="D87" s="442">
        <v>1407606</v>
      </c>
      <c r="E87" s="442">
        <v>1263935.5</v>
      </c>
      <c r="F87" s="444">
        <v>-84891830</v>
      </c>
      <c r="G87" s="209">
        <f t="shared" si="2"/>
        <v>143670.5</v>
      </c>
      <c r="J87">
        <f>VLOOKUP(A87,'BCE DIC 2019'!$A$1:$F$396,6,0)</f>
        <v>-81808017</v>
      </c>
      <c r="K87">
        <f t="shared" si="3"/>
        <v>-3083813</v>
      </c>
      <c r="L87">
        <f>+F87+F105</f>
        <v>-84064428</v>
      </c>
    </row>
    <row r="88" spans="1:11" ht="12.75">
      <c r="A88" s="441">
        <v>14912701</v>
      </c>
      <c r="B88" s="441" t="s">
        <v>791</v>
      </c>
      <c r="C88" s="442">
        <v>-85035500.5</v>
      </c>
      <c r="D88" s="442">
        <v>1407606</v>
      </c>
      <c r="E88" s="442">
        <v>1263935.5</v>
      </c>
      <c r="F88" s="444">
        <v>-84891830</v>
      </c>
      <c r="G88" s="209">
        <f t="shared" si="2"/>
        <v>143670.5</v>
      </c>
      <c r="J88">
        <f>VLOOKUP(A88,'BCE DIC 2019'!$A$1:$F$396,6,0)</f>
        <v>-81808017</v>
      </c>
      <c r="K88">
        <f t="shared" si="3"/>
        <v>-3083813</v>
      </c>
    </row>
    <row r="89" spans="1:11" ht="12.75">
      <c r="A89" s="441">
        <v>1446</v>
      </c>
      <c r="B89" s="441" t="s">
        <v>324</v>
      </c>
      <c r="C89" s="442">
        <v>-57914457</v>
      </c>
      <c r="D89" s="442">
        <v>8553683</v>
      </c>
      <c r="E89" s="442">
        <v>2355083</v>
      </c>
      <c r="F89" s="444">
        <v>-51715857</v>
      </c>
      <c r="G89" s="209">
        <f t="shared" si="2"/>
        <v>6198600</v>
      </c>
      <c r="J89">
        <f>VLOOKUP(A89,'BCE DIC 2019'!$A$1:$F$396,6,0)</f>
        <v>-8523476</v>
      </c>
      <c r="K89">
        <f t="shared" si="3"/>
        <v>-43192381</v>
      </c>
    </row>
    <row r="90" spans="1:11" ht="12.75">
      <c r="A90" s="441">
        <v>144615</v>
      </c>
      <c r="B90" s="441" t="s">
        <v>285</v>
      </c>
      <c r="C90" s="442">
        <v>-6524227</v>
      </c>
      <c r="D90" s="442">
        <v>6456470</v>
      </c>
      <c r="E90" s="442">
        <v>1682859</v>
      </c>
      <c r="F90" s="444">
        <v>-1750616</v>
      </c>
      <c r="G90" s="209">
        <f t="shared" si="2"/>
        <v>4773611</v>
      </c>
      <c r="J90">
        <f>VLOOKUP(A90,'BCE DIC 2019'!$A$1:$F$396,6,0)</f>
        <v>-888297</v>
      </c>
      <c r="K90">
        <f t="shared" si="3"/>
        <v>-862319</v>
      </c>
    </row>
    <row r="91" spans="1:11" ht="12.75">
      <c r="A91" s="441">
        <v>16965401</v>
      </c>
      <c r="B91" s="441" t="s">
        <v>792</v>
      </c>
      <c r="C91" s="442">
        <v>-6524227</v>
      </c>
      <c r="D91" s="442">
        <v>6456470</v>
      </c>
      <c r="E91" s="442">
        <v>1682859</v>
      </c>
      <c r="F91" s="444">
        <v>-1750616</v>
      </c>
      <c r="G91" s="209">
        <f t="shared" si="2"/>
        <v>4773611</v>
      </c>
      <c r="J91">
        <f>VLOOKUP(A91,'BCE DIC 2019'!$A$1:$F$396,6,0)</f>
        <v>-888297</v>
      </c>
      <c r="K91">
        <f t="shared" si="3"/>
        <v>-862319</v>
      </c>
    </row>
    <row r="92" spans="1:11" ht="12.75">
      <c r="A92" s="441">
        <v>144620</v>
      </c>
      <c r="B92" s="441" t="s">
        <v>291</v>
      </c>
      <c r="C92" s="442">
        <v>-7246264</v>
      </c>
      <c r="D92" s="442">
        <v>1479146</v>
      </c>
      <c r="E92" s="442">
        <v>267440</v>
      </c>
      <c r="F92" s="444">
        <v>-6034558</v>
      </c>
      <c r="G92" s="209">
        <f t="shared" si="2"/>
        <v>1211706</v>
      </c>
      <c r="J92">
        <f>VLOOKUP(A92,'BCE DIC 2019'!$A$1:$F$396,6,0)</f>
        <v>-6282889</v>
      </c>
      <c r="K92">
        <f t="shared" si="3"/>
        <v>248331</v>
      </c>
    </row>
    <row r="93" spans="1:11" ht="12.75">
      <c r="A93" s="441">
        <v>16965601</v>
      </c>
      <c r="B93" s="441" t="s">
        <v>793</v>
      </c>
      <c r="C93" s="442">
        <v>-7246264</v>
      </c>
      <c r="D93" s="442">
        <v>1479146</v>
      </c>
      <c r="E93" s="442">
        <v>267440</v>
      </c>
      <c r="F93" s="444">
        <v>-6034558</v>
      </c>
      <c r="G93" s="209">
        <f t="shared" si="2"/>
        <v>1211706</v>
      </c>
      <c r="J93">
        <f>VLOOKUP(A93,'BCE DIC 2019'!$A$1:$F$396,6,0)</f>
        <v>-6282889</v>
      </c>
      <c r="K93">
        <f t="shared" si="3"/>
        <v>248331</v>
      </c>
    </row>
    <row r="94" spans="1:11" ht="12.75">
      <c r="A94" s="441">
        <v>144625</v>
      </c>
      <c r="B94" s="441" t="s">
        <v>286</v>
      </c>
      <c r="C94" s="442">
        <v>-10766322</v>
      </c>
      <c r="D94" s="442">
        <v>618067</v>
      </c>
      <c r="E94" s="442">
        <v>404784</v>
      </c>
      <c r="F94" s="444">
        <v>-10553039</v>
      </c>
      <c r="G94" s="209">
        <f t="shared" si="2"/>
        <v>213283</v>
      </c>
      <c r="J94">
        <f>VLOOKUP(A94,'BCE DIC 2019'!$A$1:$F$396,6,0)</f>
        <v>-1352290</v>
      </c>
      <c r="K94">
        <f t="shared" si="3"/>
        <v>-9200749</v>
      </c>
    </row>
    <row r="95" spans="1:11" ht="12.75">
      <c r="A95" s="441">
        <v>16965701</v>
      </c>
      <c r="B95" s="441" t="s">
        <v>794</v>
      </c>
      <c r="C95" s="442">
        <v>-10766322</v>
      </c>
      <c r="D95" s="442">
        <v>618067</v>
      </c>
      <c r="E95" s="442">
        <v>404784</v>
      </c>
      <c r="F95" s="444">
        <v>-10553039</v>
      </c>
      <c r="G95" s="209">
        <f t="shared" si="2"/>
        <v>213283</v>
      </c>
      <c r="J95">
        <f>VLOOKUP(A95,'BCE DIC 2019'!$A$1:$F$396,6,0)</f>
        <v>-1352290</v>
      </c>
      <c r="K95">
        <f t="shared" si="3"/>
        <v>-9200749</v>
      </c>
    </row>
    <row r="96" spans="1:13" ht="12.75">
      <c r="A96" s="441">
        <v>144630</v>
      </c>
      <c r="B96" s="441" t="s">
        <v>328</v>
      </c>
      <c r="C96" s="442">
        <v>-33377644</v>
      </c>
      <c r="D96" s="442">
        <v>0</v>
      </c>
      <c r="E96" s="442">
        <v>0</v>
      </c>
      <c r="F96" s="444">
        <v>-33377644</v>
      </c>
      <c r="G96" s="209">
        <f t="shared" si="2"/>
        <v>0</v>
      </c>
      <c r="J96" t="e">
        <f>VLOOKUP(A96,'BCE DIC 2019'!$A$1:$F$396,6,0)</f>
        <v>#N/A</v>
      </c>
      <c r="K96" t="e">
        <f t="shared" si="3"/>
        <v>#N/A</v>
      </c>
      <c r="M96">
        <f>+F96+F105</f>
        <v>-32550242</v>
      </c>
    </row>
    <row r="97" spans="1:11" ht="12.75">
      <c r="A97" s="441">
        <v>14463001</v>
      </c>
      <c r="B97" s="441" t="s">
        <v>329</v>
      </c>
      <c r="C97" s="442">
        <v>-33377644</v>
      </c>
      <c r="D97" s="442">
        <v>0</v>
      </c>
      <c r="E97" s="442">
        <v>0</v>
      </c>
      <c r="F97" s="444">
        <v>-33377644</v>
      </c>
      <c r="G97" s="209">
        <f t="shared" si="2"/>
        <v>0</v>
      </c>
      <c r="J97" t="e">
        <f>VLOOKUP(A97,'BCE DIC 2019'!$A$1:$F$396,6,0)</f>
        <v>#N/A</v>
      </c>
      <c r="K97" t="e">
        <f t="shared" si="3"/>
        <v>#N/A</v>
      </c>
    </row>
    <row r="98" spans="1:11" ht="12.75">
      <c r="A98" s="441">
        <v>1447</v>
      </c>
      <c r="B98" s="441" t="s">
        <v>330</v>
      </c>
      <c r="C98" s="442">
        <v>-2373055</v>
      </c>
      <c r="D98" s="442">
        <v>0</v>
      </c>
      <c r="E98" s="442">
        <v>0</v>
      </c>
      <c r="F98" s="444">
        <v>-2373055</v>
      </c>
      <c r="G98" s="209">
        <f t="shared" si="2"/>
        <v>0</v>
      </c>
      <c r="J98" t="e">
        <f>VLOOKUP(A98,'BCE DIC 2019'!$A$1:$F$396,6,0)</f>
        <v>#N/A</v>
      </c>
      <c r="K98" t="e">
        <f t="shared" si="3"/>
        <v>#N/A</v>
      </c>
    </row>
    <row r="99" spans="1:11" ht="12.75">
      <c r="A99" s="441">
        <v>144730</v>
      </c>
      <c r="B99" s="441" t="s">
        <v>313</v>
      </c>
      <c r="C99" s="442">
        <v>-2373055</v>
      </c>
      <c r="D99" s="442">
        <v>0</v>
      </c>
      <c r="E99" s="442">
        <v>0</v>
      </c>
      <c r="F99" s="444">
        <v>-2373055</v>
      </c>
      <c r="G99" s="209">
        <f t="shared" si="2"/>
        <v>0</v>
      </c>
      <c r="J99" t="e">
        <f>VLOOKUP(A99,'BCE DIC 2019'!$A$1:$F$396,6,0)</f>
        <v>#N/A</v>
      </c>
      <c r="K99" t="e">
        <f t="shared" si="3"/>
        <v>#N/A</v>
      </c>
    </row>
    <row r="100" spans="1:11" ht="12.75">
      <c r="A100" s="441">
        <v>14473001</v>
      </c>
      <c r="B100" s="441" t="s">
        <v>795</v>
      </c>
      <c r="C100" s="442">
        <v>-2373055</v>
      </c>
      <c r="D100" s="442">
        <v>0</v>
      </c>
      <c r="E100" s="442">
        <v>0</v>
      </c>
      <c r="F100" s="444">
        <v>-2373055</v>
      </c>
      <c r="G100" s="209">
        <f t="shared" si="2"/>
        <v>0</v>
      </c>
      <c r="J100" t="e">
        <f>VLOOKUP(A100,'BCE DIC 2019'!$A$1:$F$396,6,0)</f>
        <v>#N/A</v>
      </c>
      <c r="K100" t="e">
        <f t="shared" si="3"/>
        <v>#N/A</v>
      </c>
    </row>
    <row r="101" spans="1:11" ht="12.75">
      <c r="A101" s="441">
        <v>1468</v>
      </c>
      <c r="B101" s="441" t="s">
        <v>332</v>
      </c>
      <c r="C101" s="442">
        <v>-62683032.48</v>
      </c>
      <c r="D101" s="442">
        <v>0</v>
      </c>
      <c r="E101" s="442">
        <v>984409</v>
      </c>
      <c r="F101" s="444">
        <v>-63667441.48</v>
      </c>
      <c r="G101" s="209">
        <f t="shared" si="2"/>
        <v>-984409</v>
      </c>
      <c r="J101">
        <f>VLOOKUP(A101,'BCE DIC 2019'!$A$1:$F$396,6,0)</f>
        <v>-48515196.48</v>
      </c>
      <c r="K101">
        <f t="shared" si="3"/>
        <v>-15152245</v>
      </c>
    </row>
    <row r="102" spans="1:11" ht="12.75">
      <c r="A102" s="441">
        <v>14980501</v>
      </c>
      <c r="B102" s="441" t="s">
        <v>796</v>
      </c>
      <c r="C102" s="442">
        <v>-62683032.48</v>
      </c>
      <c r="D102" s="442">
        <v>0</v>
      </c>
      <c r="E102" s="442">
        <v>984409</v>
      </c>
      <c r="F102" s="444">
        <v>-63667441.48</v>
      </c>
      <c r="G102" s="209">
        <f t="shared" si="2"/>
        <v>-984409</v>
      </c>
      <c r="J102">
        <f>VLOOKUP(A102,'BCE DIC 2019'!$A$1:$F$396,6,0)</f>
        <v>-48515196.48</v>
      </c>
      <c r="K102">
        <f t="shared" si="3"/>
        <v>-15152245</v>
      </c>
    </row>
    <row r="103" spans="1:11" ht="12.75">
      <c r="A103" s="441">
        <v>1473</v>
      </c>
      <c r="B103" s="441" t="s">
        <v>711</v>
      </c>
      <c r="C103" s="442">
        <v>4514625.6</v>
      </c>
      <c r="D103" s="442">
        <v>9754389</v>
      </c>
      <c r="E103" s="442">
        <v>10143278</v>
      </c>
      <c r="F103" s="444">
        <v>4125736.6</v>
      </c>
      <c r="G103" s="209">
        <f t="shared" si="2"/>
        <v>-388888.99999999953</v>
      </c>
      <c r="J103">
        <v>0</v>
      </c>
      <c r="K103">
        <f t="shared" si="3"/>
        <v>4125736.6</v>
      </c>
    </row>
    <row r="104" spans="1:11" ht="12.75">
      <c r="A104" s="441">
        <v>147315</v>
      </c>
      <c r="B104" s="441" t="s">
        <v>712</v>
      </c>
      <c r="C104" s="442">
        <v>323601</v>
      </c>
      <c r="D104" s="442">
        <v>1300201</v>
      </c>
      <c r="E104" s="442">
        <v>796400</v>
      </c>
      <c r="F104" s="444">
        <v>827402</v>
      </c>
      <c r="G104" s="209">
        <f t="shared" si="2"/>
        <v>503801</v>
      </c>
      <c r="J104">
        <v>0</v>
      </c>
      <c r="K104">
        <f t="shared" si="3"/>
        <v>827402</v>
      </c>
    </row>
    <row r="105" spans="1:11" ht="12.75">
      <c r="A105" s="441">
        <v>14731501</v>
      </c>
      <c r="B105" s="441" t="s">
        <v>713</v>
      </c>
      <c r="C105" s="442">
        <v>323601</v>
      </c>
      <c r="D105" s="442">
        <v>1300201</v>
      </c>
      <c r="E105" s="442">
        <v>796400</v>
      </c>
      <c r="F105" s="444">
        <v>827402</v>
      </c>
      <c r="G105" s="209">
        <f t="shared" si="2"/>
        <v>503801</v>
      </c>
      <c r="J105">
        <v>0</v>
      </c>
      <c r="K105">
        <f t="shared" si="3"/>
        <v>827402</v>
      </c>
    </row>
    <row r="106" spans="1:11" ht="12.75">
      <c r="A106" s="441">
        <v>147320</v>
      </c>
      <c r="B106" s="441" t="s">
        <v>714</v>
      </c>
      <c r="C106" s="442">
        <v>0</v>
      </c>
      <c r="D106" s="442">
        <v>260250</v>
      </c>
      <c r="E106" s="442">
        <v>260250</v>
      </c>
      <c r="F106" s="444">
        <v>0</v>
      </c>
      <c r="G106" s="209">
        <f t="shared" si="2"/>
        <v>0</v>
      </c>
      <c r="J106">
        <v>0</v>
      </c>
      <c r="K106">
        <f t="shared" si="3"/>
        <v>0</v>
      </c>
    </row>
    <row r="107" spans="1:11" ht="12.75">
      <c r="A107" s="441">
        <v>14732001</v>
      </c>
      <c r="B107" s="441" t="s">
        <v>715</v>
      </c>
      <c r="C107" s="442">
        <v>0</v>
      </c>
      <c r="D107" s="442">
        <v>260250</v>
      </c>
      <c r="E107" s="442">
        <v>260250</v>
      </c>
      <c r="F107" s="444">
        <v>0</v>
      </c>
      <c r="G107" s="209">
        <f t="shared" si="2"/>
        <v>0</v>
      </c>
      <c r="J107">
        <v>0</v>
      </c>
      <c r="K107">
        <f t="shared" si="3"/>
        <v>0</v>
      </c>
    </row>
    <row r="108" spans="1:11" ht="12.75">
      <c r="A108" s="441">
        <v>147395</v>
      </c>
      <c r="B108" s="441" t="s">
        <v>716</v>
      </c>
      <c r="C108" s="442">
        <v>4191024.6</v>
      </c>
      <c r="D108" s="442">
        <v>8193938</v>
      </c>
      <c r="E108" s="442">
        <v>9086628</v>
      </c>
      <c r="F108" s="444">
        <v>3298334.6</v>
      </c>
      <c r="G108" s="209">
        <f t="shared" si="2"/>
        <v>-892690</v>
      </c>
      <c r="J108" t="e">
        <f>VLOOKUP(A108,'BCE DIC 2019'!$A$1:$F$396,6,0)</f>
        <v>#N/A</v>
      </c>
      <c r="K108" t="e">
        <f t="shared" si="3"/>
        <v>#N/A</v>
      </c>
    </row>
    <row r="109" spans="1:11" ht="12.75">
      <c r="A109" s="441">
        <v>14739501</v>
      </c>
      <c r="B109" s="441" t="s">
        <v>717</v>
      </c>
      <c r="C109" s="442">
        <v>948670</v>
      </c>
      <c r="D109" s="442">
        <v>0</v>
      </c>
      <c r="E109" s="442">
        <v>543717</v>
      </c>
      <c r="F109" s="444">
        <v>404953</v>
      </c>
      <c r="G109" s="209">
        <f t="shared" si="2"/>
        <v>-543717</v>
      </c>
      <c r="J109" t="e">
        <f>VLOOKUP(A109,'BCE DIC 2019'!$A$1:$F$396,6,0)</f>
        <v>#N/A</v>
      </c>
      <c r="K109" t="e">
        <f t="shared" si="3"/>
        <v>#N/A</v>
      </c>
    </row>
    <row r="110" spans="1:11" ht="12.75">
      <c r="A110" s="441">
        <v>16059501</v>
      </c>
      <c r="B110" s="441" t="s">
        <v>339</v>
      </c>
      <c r="C110" s="442">
        <v>3242354.6</v>
      </c>
      <c r="D110" s="442">
        <v>8193938</v>
      </c>
      <c r="E110" s="442">
        <v>8542911</v>
      </c>
      <c r="F110" s="444">
        <v>2893381.6</v>
      </c>
      <c r="G110" s="209">
        <f t="shared" si="2"/>
        <v>-348973</v>
      </c>
      <c r="J110">
        <f>VLOOKUP(A110,'BCE DIC 2019'!$A$1:$F$396,6,0)</f>
        <v>2129436.85</v>
      </c>
      <c r="K110">
        <f t="shared" si="3"/>
        <v>763944.75</v>
      </c>
    </row>
    <row r="111" spans="1:11" ht="12.75">
      <c r="A111" s="441">
        <v>1600</v>
      </c>
      <c r="B111" s="441" t="s">
        <v>334</v>
      </c>
      <c r="C111" s="442">
        <v>66238173</v>
      </c>
      <c r="D111" s="442">
        <v>315558200</v>
      </c>
      <c r="E111" s="442">
        <v>381796373</v>
      </c>
      <c r="F111" s="444">
        <v>0</v>
      </c>
      <c r="G111" s="209">
        <f t="shared" si="2"/>
        <v>-66238173</v>
      </c>
      <c r="J111">
        <f>VLOOKUP(A111,'BCE DIC 2019'!$A$1:$F$396,6,0)</f>
        <v>9497512.85</v>
      </c>
      <c r="K111">
        <f t="shared" si="3"/>
        <v>-9497512.85</v>
      </c>
    </row>
    <row r="112" spans="1:11" ht="12.75">
      <c r="A112" s="441">
        <v>1630</v>
      </c>
      <c r="B112" s="441" t="s">
        <v>335</v>
      </c>
      <c r="C112" s="442">
        <v>200000</v>
      </c>
      <c r="D112" s="442">
        <v>249300000</v>
      </c>
      <c r="E112" s="442">
        <v>249500000</v>
      </c>
      <c r="F112" s="444">
        <v>0</v>
      </c>
      <c r="G112" s="209">
        <f t="shared" si="2"/>
        <v>-200000</v>
      </c>
      <c r="J112">
        <f>VLOOKUP(A112,'BCE DIC 2019'!$A$1:$F$396,6,0)</f>
        <v>9497510.85</v>
      </c>
      <c r="K112">
        <f t="shared" si="3"/>
        <v>-9497510.85</v>
      </c>
    </row>
    <row r="113" spans="1:11" ht="12.75">
      <c r="A113" s="441">
        <v>163095</v>
      </c>
      <c r="B113" s="441" t="s">
        <v>338</v>
      </c>
      <c r="C113" s="442">
        <v>200000</v>
      </c>
      <c r="D113" s="442">
        <v>249300000</v>
      </c>
      <c r="E113" s="442">
        <v>249500000</v>
      </c>
      <c r="F113" s="444">
        <v>0</v>
      </c>
      <c r="G113" s="209">
        <f t="shared" si="2"/>
        <v>-200000</v>
      </c>
      <c r="J113">
        <f>VLOOKUP(A113,'BCE DIC 2019'!$A$1:$F$396,6,0)</f>
        <v>2129436.85</v>
      </c>
      <c r="K113">
        <f t="shared" si="3"/>
        <v>-2129436.85</v>
      </c>
    </row>
    <row r="114" spans="1:11" ht="12.75">
      <c r="A114" s="441">
        <v>16251005</v>
      </c>
      <c r="B114" s="441" t="s">
        <v>337</v>
      </c>
      <c r="C114" s="442">
        <v>200000</v>
      </c>
      <c r="D114" s="442">
        <v>249300000</v>
      </c>
      <c r="E114" s="442">
        <v>249500000</v>
      </c>
      <c r="F114" s="444">
        <v>0</v>
      </c>
      <c r="G114" s="209">
        <f t="shared" si="2"/>
        <v>-200000</v>
      </c>
      <c r="J114">
        <f>VLOOKUP(A114,'BCE DIC 2019'!$A$1:$F$396,6,0)</f>
        <v>7368074</v>
      </c>
      <c r="K114">
        <f t="shared" si="3"/>
        <v>-7368074</v>
      </c>
    </row>
    <row r="115" spans="1:11" ht="12.75">
      <c r="A115" s="441">
        <v>1650</v>
      </c>
      <c r="B115" s="441" t="s">
        <v>340</v>
      </c>
      <c r="C115" s="442">
        <v>65958173</v>
      </c>
      <c r="D115" s="442">
        <v>66258200</v>
      </c>
      <c r="E115" s="442">
        <v>132216373</v>
      </c>
      <c r="F115" s="444">
        <v>0</v>
      </c>
      <c r="G115" s="209">
        <f t="shared" si="2"/>
        <v>-65958173</v>
      </c>
      <c r="J115">
        <f>VLOOKUP(A115,'BCE DIC 2019'!$A$1:$F$396,6,0)</f>
        <v>2</v>
      </c>
      <c r="K115">
        <f t="shared" si="3"/>
        <v>-2</v>
      </c>
    </row>
    <row r="116" spans="1:11" ht="12.75">
      <c r="A116" s="441">
        <v>165005</v>
      </c>
      <c r="B116" s="441" t="s">
        <v>341</v>
      </c>
      <c r="C116" s="442">
        <v>65958173</v>
      </c>
      <c r="D116" s="442">
        <v>66258200</v>
      </c>
      <c r="E116" s="442">
        <v>132216373</v>
      </c>
      <c r="F116" s="444">
        <v>0</v>
      </c>
      <c r="G116" s="209">
        <f t="shared" si="2"/>
        <v>-65958173</v>
      </c>
      <c r="J116">
        <f>VLOOKUP(A116,'BCE DIC 2019'!$A$1:$F$396,6,0)</f>
        <v>2</v>
      </c>
      <c r="K116">
        <f t="shared" si="3"/>
        <v>-2</v>
      </c>
    </row>
    <row r="117" spans="1:11" ht="12.75">
      <c r="A117" s="441">
        <v>16500501</v>
      </c>
      <c r="B117" s="441" t="s">
        <v>342</v>
      </c>
      <c r="C117" s="442">
        <v>65958173</v>
      </c>
      <c r="D117" s="442">
        <v>66258200</v>
      </c>
      <c r="E117" s="442">
        <v>132216373</v>
      </c>
      <c r="F117" s="444">
        <v>0</v>
      </c>
      <c r="G117" s="209">
        <f t="shared" si="2"/>
        <v>-65958173</v>
      </c>
      <c r="J117">
        <f>VLOOKUP(A117,'BCE DIC 2019'!$A$1:$F$396,6,0)</f>
        <v>2</v>
      </c>
      <c r="K117">
        <f t="shared" si="3"/>
        <v>-2</v>
      </c>
    </row>
    <row r="118" spans="1:11" ht="12.75">
      <c r="A118" s="441">
        <v>1660</v>
      </c>
      <c r="B118" s="441" t="s">
        <v>346</v>
      </c>
      <c r="C118" s="442">
        <v>80000</v>
      </c>
      <c r="D118" s="442">
        <v>0</v>
      </c>
      <c r="E118" s="442">
        <v>80000</v>
      </c>
      <c r="F118" s="444">
        <v>0</v>
      </c>
      <c r="G118" s="209">
        <f t="shared" si="2"/>
        <v>-80000</v>
      </c>
      <c r="J118" t="e">
        <f>VLOOKUP(A118,'BCE DIC 2019'!$A$1:$F$396,6,0)</f>
        <v>#N/A</v>
      </c>
      <c r="K118" t="e">
        <f t="shared" si="3"/>
        <v>#N/A</v>
      </c>
    </row>
    <row r="119" spans="1:11" ht="12.75">
      <c r="A119" s="441">
        <v>166030</v>
      </c>
      <c r="B119" s="441" t="s">
        <v>347</v>
      </c>
      <c r="C119" s="442">
        <v>80000</v>
      </c>
      <c r="D119" s="442">
        <v>0</v>
      </c>
      <c r="E119" s="442">
        <v>80000</v>
      </c>
      <c r="F119" s="444">
        <v>0</v>
      </c>
      <c r="G119" s="209">
        <f t="shared" si="2"/>
        <v>-80000</v>
      </c>
      <c r="J119">
        <v>0</v>
      </c>
      <c r="K119">
        <f t="shared" si="3"/>
        <v>0</v>
      </c>
    </row>
    <row r="120" spans="1:11" ht="12.75">
      <c r="A120" s="441">
        <v>16603001</v>
      </c>
      <c r="B120" s="441" t="s">
        <v>348</v>
      </c>
      <c r="C120" s="442">
        <v>80000</v>
      </c>
      <c r="D120" s="442">
        <v>0</v>
      </c>
      <c r="E120" s="442">
        <v>80000</v>
      </c>
      <c r="F120" s="444">
        <v>0</v>
      </c>
      <c r="G120" s="209">
        <f t="shared" si="2"/>
        <v>-80000</v>
      </c>
      <c r="J120">
        <v>0</v>
      </c>
      <c r="K120">
        <f t="shared" si="3"/>
        <v>0</v>
      </c>
    </row>
    <row r="121" spans="1:11" ht="12.75">
      <c r="A121" s="441">
        <v>1700</v>
      </c>
      <c r="B121" s="441" t="s">
        <v>349</v>
      </c>
      <c r="C121" s="442">
        <v>540269370.02</v>
      </c>
      <c r="D121" s="442">
        <v>0</v>
      </c>
      <c r="E121" s="442">
        <v>884134.61</v>
      </c>
      <c r="F121" s="444">
        <v>539385235.41</v>
      </c>
      <c r="G121" s="209">
        <f t="shared" si="2"/>
        <v>-884134.6100000143</v>
      </c>
      <c r="J121">
        <v>0</v>
      </c>
      <c r="K121">
        <f t="shared" si="3"/>
        <v>539385235.41</v>
      </c>
    </row>
    <row r="122" spans="1:11" ht="12.75">
      <c r="A122" s="441">
        <v>1705</v>
      </c>
      <c r="B122" s="441" t="s">
        <v>153</v>
      </c>
      <c r="C122" s="442">
        <v>540269370.02</v>
      </c>
      <c r="D122" s="442">
        <v>0</v>
      </c>
      <c r="E122" s="442">
        <v>884134.61</v>
      </c>
      <c r="F122" s="444">
        <v>539385235.41</v>
      </c>
      <c r="G122" s="209">
        <f t="shared" si="2"/>
        <v>-884134.6100000143</v>
      </c>
      <c r="J122">
        <v>0</v>
      </c>
      <c r="K122">
        <f t="shared" si="3"/>
        <v>539385235.41</v>
      </c>
    </row>
    <row r="123" spans="1:11" ht="12.75">
      <c r="A123" s="441">
        <v>170502</v>
      </c>
      <c r="B123" s="441" t="s">
        <v>350</v>
      </c>
      <c r="C123" s="442">
        <v>527849000</v>
      </c>
      <c r="D123" s="442">
        <v>0</v>
      </c>
      <c r="E123" s="442">
        <v>0</v>
      </c>
      <c r="F123" s="444">
        <v>527849000</v>
      </c>
      <c r="G123" s="209">
        <f t="shared" si="2"/>
        <v>0</v>
      </c>
      <c r="J123">
        <v>0</v>
      </c>
      <c r="K123">
        <f t="shared" si="3"/>
        <v>527849000</v>
      </c>
    </row>
    <row r="124" spans="1:11" ht="12.75">
      <c r="A124" s="441">
        <v>17050501</v>
      </c>
      <c r="B124" s="441" t="s">
        <v>351</v>
      </c>
      <c r="C124" s="442">
        <v>527849000</v>
      </c>
      <c r="D124" s="442">
        <v>0</v>
      </c>
      <c r="E124" s="442">
        <v>0</v>
      </c>
      <c r="F124" s="444">
        <v>527849000</v>
      </c>
      <c r="G124" s="209">
        <f t="shared" si="2"/>
        <v>0</v>
      </c>
      <c r="J124">
        <v>0</v>
      </c>
      <c r="K124">
        <f t="shared" si="3"/>
        <v>527849000</v>
      </c>
    </row>
    <row r="125" spans="1:11" ht="12.75">
      <c r="A125" s="441">
        <v>170504</v>
      </c>
      <c r="B125" s="441" t="s">
        <v>352</v>
      </c>
      <c r="C125" s="442">
        <v>126901000</v>
      </c>
      <c r="D125" s="442">
        <v>0</v>
      </c>
      <c r="E125" s="442">
        <v>0</v>
      </c>
      <c r="F125" s="444">
        <v>126901000</v>
      </c>
      <c r="G125" s="209">
        <f t="shared" si="2"/>
        <v>0</v>
      </c>
      <c r="J125">
        <v>0</v>
      </c>
      <c r="K125">
        <f t="shared" si="3"/>
        <v>126901000</v>
      </c>
    </row>
    <row r="126" spans="1:11" ht="12.75">
      <c r="A126" s="441">
        <v>17150501</v>
      </c>
      <c r="B126" s="441" t="s">
        <v>353</v>
      </c>
      <c r="C126" s="442">
        <v>126901000</v>
      </c>
      <c r="D126" s="442">
        <v>0</v>
      </c>
      <c r="E126" s="442">
        <v>0</v>
      </c>
      <c r="F126" s="444">
        <v>126901000</v>
      </c>
      <c r="G126" s="209">
        <f t="shared" si="2"/>
        <v>0</v>
      </c>
      <c r="J126">
        <v>0</v>
      </c>
      <c r="K126">
        <f t="shared" si="3"/>
        <v>126901000</v>
      </c>
    </row>
    <row r="127" spans="1:11" ht="12.75">
      <c r="A127" s="441">
        <v>170505</v>
      </c>
      <c r="B127" s="441" t="s">
        <v>354</v>
      </c>
      <c r="C127" s="442">
        <v>32986084</v>
      </c>
      <c r="D127" s="442">
        <v>0</v>
      </c>
      <c r="E127" s="442">
        <v>0</v>
      </c>
      <c r="F127" s="444">
        <v>32986084</v>
      </c>
      <c r="G127" s="209">
        <f t="shared" si="2"/>
        <v>0</v>
      </c>
      <c r="J127">
        <f>VLOOKUP(A127,'BCE DIC 2019'!$A$1:$F$396,6,0)</f>
        <v>32986084</v>
      </c>
      <c r="K127">
        <f t="shared" si="3"/>
        <v>0</v>
      </c>
    </row>
    <row r="128" spans="1:11" ht="12.75">
      <c r="A128" s="441">
        <v>17201001</v>
      </c>
      <c r="B128" s="441" t="s">
        <v>355</v>
      </c>
      <c r="C128" s="442">
        <v>19336940</v>
      </c>
      <c r="D128" s="442">
        <v>0</v>
      </c>
      <c r="E128" s="442">
        <v>0</v>
      </c>
      <c r="F128" s="444">
        <v>19336940</v>
      </c>
      <c r="G128" s="209">
        <f t="shared" si="2"/>
        <v>0</v>
      </c>
      <c r="J128">
        <f>VLOOKUP(A128,'BCE DIC 2019'!$A$1:$F$396,6,0)</f>
        <v>19336940</v>
      </c>
      <c r="K128">
        <f t="shared" si="3"/>
        <v>0</v>
      </c>
    </row>
    <row r="129" spans="1:11" ht="12.75">
      <c r="A129" s="441">
        <v>17201501</v>
      </c>
      <c r="B129" s="441" t="s">
        <v>356</v>
      </c>
      <c r="C129" s="442">
        <v>13649144</v>
      </c>
      <c r="D129" s="442">
        <v>0</v>
      </c>
      <c r="E129" s="442">
        <v>0</v>
      </c>
      <c r="F129" s="444">
        <v>13649144</v>
      </c>
      <c r="G129" s="209">
        <f t="shared" si="2"/>
        <v>0</v>
      </c>
      <c r="J129">
        <f>VLOOKUP(A129,'BCE DIC 2019'!$A$1:$F$396,6,0)</f>
        <v>13649144</v>
      </c>
      <c r="K129">
        <f t="shared" si="3"/>
        <v>0</v>
      </c>
    </row>
    <row r="130" spans="1:11" ht="12.75">
      <c r="A130" s="441">
        <v>170520</v>
      </c>
      <c r="B130" s="441" t="s">
        <v>357</v>
      </c>
      <c r="C130" s="442">
        <v>83934387</v>
      </c>
      <c r="D130" s="442">
        <v>0</v>
      </c>
      <c r="E130" s="442">
        <v>0</v>
      </c>
      <c r="F130" s="444">
        <v>83934387</v>
      </c>
      <c r="G130" s="209">
        <f t="shared" si="2"/>
        <v>0</v>
      </c>
      <c r="J130">
        <f>VLOOKUP(A130,'BCE DIC 2019'!$A$1:$F$396,6,0)</f>
        <v>70837424</v>
      </c>
      <c r="K130">
        <f t="shared" si="3"/>
        <v>13096963</v>
      </c>
    </row>
    <row r="131" spans="1:11" ht="12.75">
      <c r="A131" s="441">
        <v>17250501</v>
      </c>
      <c r="B131" s="441" t="s">
        <v>358</v>
      </c>
      <c r="C131" s="442">
        <v>81701947</v>
      </c>
      <c r="D131" s="442">
        <v>0</v>
      </c>
      <c r="E131" s="442">
        <v>0</v>
      </c>
      <c r="F131" s="444">
        <v>81701947</v>
      </c>
      <c r="G131" s="209">
        <f aca="true" t="shared" si="4" ref="G131:G194">+F131-C131</f>
        <v>0</v>
      </c>
      <c r="J131">
        <f>VLOOKUP(A131,'BCE DIC 2019'!$A$1:$F$396,6,0)</f>
        <v>70837424</v>
      </c>
      <c r="K131">
        <f aca="true" t="shared" si="5" ref="K131:K194">+F131-J131</f>
        <v>10864523</v>
      </c>
    </row>
    <row r="132" spans="1:11" ht="12.75">
      <c r="A132" s="441">
        <v>19901501</v>
      </c>
      <c r="B132" s="441" t="s">
        <v>797</v>
      </c>
      <c r="C132" s="442">
        <v>2232440</v>
      </c>
      <c r="D132" s="442">
        <v>0</v>
      </c>
      <c r="E132" s="442">
        <v>0</v>
      </c>
      <c r="F132" s="444">
        <v>2232440</v>
      </c>
      <c r="G132" s="209">
        <f t="shared" si="4"/>
        <v>0</v>
      </c>
      <c r="J132" t="e">
        <f>VLOOKUP(A132,'BCE DIC 2019'!$A$1:$F$396,6,0)</f>
        <v>#N/A</v>
      </c>
      <c r="K132" t="e">
        <f t="shared" si="5"/>
        <v>#N/A</v>
      </c>
    </row>
    <row r="133" spans="1:11" ht="12.75">
      <c r="A133" s="441">
        <v>170595</v>
      </c>
      <c r="B133" s="441" t="s">
        <v>361</v>
      </c>
      <c r="C133" s="442">
        <v>-231401100.98</v>
      </c>
      <c r="D133" s="442">
        <v>0</v>
      </c>
      <c r="E133" s="442">
        <v>884134.61</v>
      </c>
      <c r="F133" s="444">
        <v>-232285235.59</v>
      </c>
      <c r="G133" s="209">
        <f t="shared" si="4"/>
        <v>-884134.6100000143</v>
      </c>
      <c r="J133">
        <f>VLOOKUP(A133,'BCE DIC 2019'!$A$1:$F$396,6,0)</f>
        <v>-233943952.81</v>
      </c>
      <c r="K133">
        <f t="shared" si="5"/>
        <v>1658717.2199999988</v>
      </c>
    </row>
    <row r="134" spans="1:11" ht="12.75">
      <c r="A134" s="441">
        <v>17950501</v>
      </c>
      <c r="B134" s="441" t="s">
        <v>39</v>
      </c>
      <c r="C134" s="442">
        <v>-123548134.37</v>
      </c>
      <c r="D134" s="442">
        <v>0</v>
      </c>
      <c r="E134" s="442">
        <v>528796.47</v>
      </c>
      <c r="F134" s="444">
        <v>-124076930.84</v>
      </c>
      <c r="G134" s="209">
        <f t="shared" si="4"/>
        <v>-528796.4699999988</v>
      </c>
      <c r="J134">
        <f>VLOOKUP(A134,'BCE DIC 2019'!$A$1:$F$396,6,0)</f>
        <v>-105040257.92</v>
      </c>
      <c r="K134">
        <f t="shared" si="5"/>
        <v>-19036672.92</v>
      </c>
    </row>
    <row r="135" spans="1:11" ht="12.75">
      <c r="A135" s="441">
        <v>17951001</v>
      </c>
      <c r="B135" s="441" t="s">
        <v>362</v>
      </c>
      <c r="C135" s="442">
        <v>-31745367.82</v>
      </c>
      <c r="D135" s="442">
        <v>0</v>
      </c>
      <c r="E135" s="442">
        <v>53554.28</v>
      </c>
      <c r="F135" s="444">
        <v>-31798922.1</v>
      </c>
      <c r="G135" s="209">
        <f t="shared" si="4"/>
        <v>-53554.28000000119</v>
      </c>
      <c r="J135">
        <f>VLOOKUP(A135,'BCE DIC 2019'!$A$1:$F$396,6,0)</f>
        <v>-23391287.92</v>
      </c>
      <c r="K135">
        <f t="shared" si="5"/>
        <v>-8407634.18</v>
      </c>
    </row>
    <row r="136" spans="1:11" ht="12.75">
      <c r="A136" s="441">
        <v>17952001</v>
      </c>
      <c r="B136" s="441" t="s">
        <v>363</v>
      </c>
      <c r="C136" s="442">
        <v>-76107598.79</v>
      </c>
      <c r="D136" s="442">
        <v>0</v>
      </c>
      <c r="E136" s="442">
        <v>301783.86</v>
      </c>
      <c r="F136" s="444">
        <v>-76409382.65</v>
      </c>
      <c r="G136" s="209">
        <f t="shared" si="4"/>
        <v>-301783.8599999994</v>
      </c>
      <c r="J136">
        <f>VLOOKUP(A136,'BCE DIC 2019'!$A$1:$F$396,6,0)</f>
        <v>-65409677.97</v>
      </c>
      <c r="K136">
        <f t="shared" si="5"/>
        <v>-10999704.680000007</v>
      </c>
    </row>
    <row r="137" spans="1:11" ht="12.75">
      <c r="A137" s="441">
        <v>2000</v>
      </c>
      <c r="B137" s="441" t="s">
        <v>50</v>
      </c>
      <c r="C137" s="442">
        <v>355492125.8</v>
      </c>
      <c r="D137" s="442">
        <v>761099194.35</v>
      </c>
      <c r="E137" s="442">
        <v>546574797.37</v>
      </c>
      <c r="F137" s="444">
        <v>140967728.82</v>
      </c>
      <c r="G137" s="209">
        <f t="shared" si="4"/>
        <v>-214524396.98000002</v>
      </c>
      <c r="J137">
        <f>VLOOKUP(A137,'BCE DIC 2019'!$A$1:$F$396,6,0)</f>
        <v>115403738.36</v>
      </c>
      <c r="K137">
        <f t="shared" si="5"/>
        <v>25563990.459999993</v>
      </c>
    </row>
    <row r="138" spans="1:11" ht="12.75">
      <c r="A138" s="441">
        <v>2400</v>
      </c>
      <c r="B138" s="441" t="s">
        <v>365</v>
      </c>
      <c r="C138" s="442">
        <v>54656787.22</v>
      </c>
      <c r="D138" s="442">
        <v>442511439.35</v>
      </c>
      <c r="E138" s="442">
        <v>441580533.37</v>
      </c>
      <c r="F138" s="444">
        <v>53725881.24</v>
      </c>
      <c r="G138" s="209">
        <f t="shared" si="4"/>
        <v>-930905.9799999967</v>
      </c>
      <c r="J138">
        <v>0</v>
      </c>
      <c r="K138">
        <f t="shared" si="5"/>
        <v>53725881.24</v>
      </c>
    </row>
    <row r="139" spans="1:11" ht="12.75">
      <c r="A139" s="441">
        <v>2405</v>
      </c>
      <c r="B139" s="441" t="s">
        <v>366</v>
      </c>
      <c r="C139" s="442">
        <v>7174641</v>
      </c>
      <c r="D139" s="442">
        <v>4590241</v>
      </c>
      <c r="E139" s="442">
        <v>0</v>
      </c>
      <c r="F139" s="444">
        <v>2584400</v>
      </c>
      <c r="G139" s="209">
        <f t="shared" si="4"/>
        <v>-4590241</v>
      </c>
      <c r="J139">
        <v>0</v>
      </c>
      <c r="K139">
        <f t="shared" si="5"/>
        <v>2584400</v>
      </c>
    </row>
    <row r="140" spans="1:11" ht="12.75">
      <c r="A140" s="441">
        <v>240595</v>
      </c>
      <c r="B140" s="441" t="s">
        <v>367</v>
      </c>
      <c r="C140" s="442">
        <v>7174641</v>
      </c>
      <c r="D140" s="442">
        <v>4590241</v>
      </c>
      <c r="E140" s="442">
        <v>0</v>
      </c>
      <c r="F140" s="444">
        <v>2584400</v>
      </c>
      <c r="G140" s="209">
        <f t="shared" si="4"/>
        <v>-4590241</v>
      </c>
      <c r="H140" s="455">
        <f>+F141+H141</f>
        <v>2469400</v>
      </c>
      <c r="J140">
        <f>VLOOKUP(A140,'BCE DIC 2019'!$A$1:$F$396,6,0)</f>
        <v>1606200</v>
      </c>
      <c r="K140">
        <f t="shared" si="5"/>
        <v>978200</v>
      </c>
    </row>
    <row r="141" spans="1:11" ht="12.75">
      <c r="A141" s="441">
        <v>24159501</v>
      </c>
      <c r="B141" s="441" t="s">
        <v>55</v>
      </c>
      <c r="C141" s="442">
        <v>7174641</v>
      </c>
      <c r="D141" s="442">
        <v>4590241</v>
      </c>
      <c r="E141" s="442">
        <v>0</v>
      </c>
      <c r="F141" s="444">
        <v>2584400</v>
      </c>
      <c r="G141" s="209">
        <f t="shared" si="4"/>
        <v>-4590241</v>
      </c>
      <c r="H141" s="353">
        <f>+F144+F145</f>
        <v>-115000</v>
      </c>
      <c r="J141">
        <f>VLOOKUP(A141,'BCE DIC 2019'!$A$1:$F$396,6,0)</f>
        <v>1606200</v>
      </c>
      <c r="K141">
        <f t="shared" si="5"/>
        <v>978200</v>
      </c>
    </row>
    <row r="142" spans="1:11" ht="12.75">
      <c r="A142" s="441">
        <v>2410</v>
      </c>
      <c r="B142" s="441" t="s">
        <v>798</v>
      </c>
      <c r="C142" s="442">
        <v>1703474</v>
      </c>
      <c r="D142" s="442">
        <v>4276256</v>
      </c>
      <c r="E142" s="442">
        <v>2457782</v>
      </c>
      <c r="F142" s="444">
        <v>-115000</v>
      </c>
      <c r="G142" s="209">
        <f t="shared" si="4"/>
        <v>-1818474</v>
      </c>
      <c r="J142" t="e">
        <f>VLOOKUP(A142,'BCE DIC 2019'!$A$1:$F$396,6,0)</f>
        <v>#N/A</v>
      </c>
      <c r="K142" t="e">
        <f t="shared" si="5"/>
        <v>#N/A</v>
      </c>
    </row>
    <row r="143" spans="1:11" ht="12.75">
      <c r="A143" s="441">
        <v>241095</v>
      </c>
      <c r="B143" s="441" t="s">
        <v>338</v>
      </c>
      <c r="C143" s="442">
        <v>1703474</v>
      </c>
      <c r="D143" s="442">
        <v>4276256</v>
      </c>
      <c r="E143" s="442">
        <v>2457782</v>
      </c>
      <c r="F143" s="444">
        <v>-115000</v>
      </c>
      <c r="G143" s="209">
        <f t="shared" si="4"/>
        <v>-1818474</v>
      </c>
      <c r="J143" t="e">
        <f>VLOOKUP(A143,'BCE DIC 2019'!$A$1:$F$396,6,0)</f>
        <v>#N/A</v>
      </c>
      <c r="K143" t="e">
        <f t="shared" si="5"/>
        <v>#N/A</v>
      </c>
    </row>
    <row r="144" spans="1:11" ht="12.75">
      <c r="A144" s="441">
        <v>24959506</v>
      </c>
      <c r="B144" s="441" t="s">
        <v>414</v>
      </c>
      <c r="C144" s="442">
        <v>1173474</v>
      </c>
      <c r="D144" s="442">
        <v>2518756</v>
      </c>
      <c r="E144" s="442">
        <v>1395282</v>
      </c>
      <c r="F144" s="444">
        <v>50000</v>
      </c>
      <c r="G144" s="209">
        <f t="shared" si="4"/>
        <v>-1123474</v>
      </c>
      <c r="J144" t="e">
        <f>VLOOKUP(A144,'BCE DIC 2019'!$A$1:$F$396,6,0)</f>
        <v>#N/A</v>
      </c>
      <c r="K144" t="e">
        <f t="shared" si="5"/>
        <v>#N/A</v>
      </c>
    </row>
    <row r="145" spans="1:11" ht="12.75">
      <c r="A145" s="441">
        <v>24959507</v>
      </c>
      <c r="B145" s="441" t="s">
        <v>799</v>
      </c>
      <c r="C145" s="442">
        <v>530000</v>
      </c>
      <c r="D145" s="442">
        <v>1757500</v>
      </c>
      <c r="E145" s="442">
        <v>1062500</v>
      </c>
      <c r="F145" s="444">
        <v>-165000</v>
      </c>
      <c r="G145" s="209">
        <f t="shared" si="4"/>
        <v>-695000</v>
      </c>
      <c r="J145">
        <v>0</v>
      </c>
      <c r="K145">
        <f t="shared" si="5"/>
        <v>-165000</v>
      </c>
    </row>
    <row r="146" spans="1:11" ht="12.75">
      <c r="A146" s="441">
        <v>2420</v>
      </c>
      <c r="B146" s="441" t="s">
        <v>336</v>
      </c>
      <c r="C146" s="442">
        <v>5968589.99</v>
      </c>
      <c r="D146" s="442">
        <v>59148996.9</v>
      </c>
      <c r="E146" s="442">
        <v>61123640.91</v>
      </c>
      <c r="F146" s="454">
        <v>7943234</v>
      </c>
      <c r="G146" s="209">
        <f t="shared" si="4"/>
        <v>1974644.0099999998</v>
      </c>
      <c r="J146">
        <v>0</v>
      </c>
      <c r="K146">
        <f t="shared" si="5"/>
        <v>7943234</v>
      </c>
    </row>
    <row r="147" spans="1:11" ht="12.75">
      <c r="A147" s="441">
        <v>242005</v>
      </c>
      <c r="B147" s="441" t="s">
        <v>800</v>
      </c>
      <c r="C147" s="442">
        <v>5968589.99</v>
      </c>
      <c r="D147" s="442">
        <v>59148996.9</v>
      </c>
      <c r="E147" s="442">
        <v>61123640.91</v>
      </c>
      <c r="F147" s="444">
        <v>7943234</v>
      </c>
      <c r="G147" s="209">
        <f t="shared" si="4"/>
        <v>1974644.0099999998</v>
      </c>
      <c r="J147">
        <v>0</v>
      </c>
      <c r="K147">
        <f t="shared" si="5"/>
        <v>7943234</v>
      </c>
    </row>
    <row r="148" spans="1:11" ht="12.75">
      <c r="A148" s="441">
        <v>24350501</v>
      </c>
      <c r="B148" s="441" t="s">
        <v>801</v>
      </c>
      <c r="C148" s="442">
        <v>5968589.99</v>
      </c>
      <c r="D148" s="442">
        <v>59148996.9</v>
      </c>
      <c r="E148" s="442">
        <v>61123640.91</v>
      </c>
      <c r="F148" s="444">
        <v>7943234</v>
      </c>
      <c r="G148" s="209">
        <f t="shared" si="4"/>
        <v>1974644.0099999998</v>
      </c>
      <c r="J148">
        <v>0</v>
      </c>
      <c r="K148">
        <f t="shared" si="5"/>
        <v>7943234</v>
      </c>
    </row>
    <row r="149" spans="1:11" ht="12.75">
      <c r="A149" s="441">
        <v>2435</v>
      </c>
      <c r="B149" s="441" t="s">
        <v>368</v>
      </c>
      <c r="C149" s="442">
        <v>730180.87</v>
      </c>
      <c r="D149" s="442">
        <v>589870.45</v>
      </c>
      <c r="E149" s="442">
        <v>242021.07</v>
      </c>
      <c r="F149" s="443">
        <v>382331.49</v>
      </c>
      <c r="G149" s="209">
        <f t="shared" si="4"/>
        <v>-347849.38</v>
      </c>
      <c r="J149">
        <f>VLOOKUP(A149,'BCE DIC 2019'!$A$1:$F$396,6,0)</f>
        <v>292714</v>
      </c>
      <c r="K149">
        <f t="shared" si="5"/>
        <v>89617.48999999999</v>
      </c>
    </row>
    <row r="150" spans="1:11" ht="12.75">
      <c r="A150" s="441">
        <v>243515</v>
      </c>
      <c r="B150" s="441" t="s">
        <v>369</v>
      </c>
      <c r="C150" s="442">
        <v>88918.45</v>
      </c>
      <c r="D150" s="442">
        <v>88918.45</v>
      </c>
      <c r="E150" s="442">
        <v>88791.82</v>
      </c>
      <c r="F150" s="443">
        <v>88791.82</v>
      </c>
      <c r="G150" s="209">
        <f t="shared" si="4"/>
        <v>-126.6299999999901</v>
      </c>
      <c r="J150" t="e">
        <f>VLOOKUP(A150,'BCE DIC 2019'!$A$1:$F$396,6,0)</f>
        <v>#N/A</v>
      </c>
      <c r="K150" t="e">
        <f t="shared" si="5"/>
        <v>#N/A</v>
      </c>
    </row>
    <row r="151" spans="1:11" ht="12.75">
      <c r="A151" s="441">
        <v>24451501</v>
      </c>
      <c r="B151" s="441" t="s">
        <v>370</v>
      </c>
      <c r="C151" s="442">
        <v>38000</v>
      </c>
      <c r="D151" s="442">
        <v>38000</v>
      </c>
      <c r="E151" s="442">
        <v>38000</v>
      </c>
      <c r="F151" s="443">
        <v>38000</v>
      </c>
      <c r="G151" s="209">
        <f t="shared" si="4"/>
        <v>0</v>
      </c>
      <c r="J151" t="e">
        <f>VLOOKUP(A151,'BCE DIC 2019'!$A$1:$F$396,6,0)</f>
        <v>#N/A</v>
      </c>
      <c r="K151" t="e">
        <f t="shared" si="5"/>
        <v>#N/A</v>
      </c>
    </row>
    <row r="152" spans="1:11" ht="12.75">
      <c r="A152" s="441">
        <v>24451503</v>
      </c>
      <c r="B152" s="441" t="s">
        <v>802</v>
      </c>
      <c r="C152" s="442">
        <v>50918.45</v>
      </c>
      <c r="D152" s="442">
        <v>50918.45</v>
      </c>
      <c r="E152" s="442">
        <v>50791.82</v>
      </c>
      <c r="F152" s="443">
        <v>50791.82</v>
      </c>
      <c r="G152" s="209">
        <f t="shared" si="4"/>
        <v>-126.62999999999738</v>
      </c>
      <c r="J152" t="e">
        <f>VLOOKUP(A152,'BCE DIC 2019'!$A$1:$F$396,6,0)</f>
        <v>#N/A</v>
      </c>
      <c r="K152" t="e">
        <f t="shared" si="5"/>
        <v>#N/A</v>
      </c>
    </row>
    <row r="153" spans="1:11" ht="12.75">
      <c r="A153" s="441">
        <v>243525</v>
      </c>
      <c r="B153" s="441" t="s">
        <v>371</v>
      </c>
      <c r="C153" s="442">
        <v>425431</v>
      </c>
      <c r="D153" s="442">
        <v>425471</v>
      </c>
      <c r="E153" s="442">
        <v>52629</v>
      </c>
      <c r="F153" s="443">
        <v>52589</v>
      </c>
      <c r="G153" s="209">
        <f t="shared" si="4"/>
        <v>-372842</v>
      </c>
      <c r="J153">
        <f>VLOOKUP(A153,'BCE DIC 2019'!$A$1:$F$396,6,0)</f>
        <v>139788</v>
      </c>
      <c r="K153">
        <f t="shared" si="5"/>
        <v>-87199</v>
      </c>
    </row>
    <row r="154" spans="1:11" ht="12.75">
      <c r="A154" s="441">
        <v>24452501</v>
      </c>
      <c r="B154" s="441" t="s">
        <v>372</v>
      </c>
      <c r="C154" s="442">
        <v>78000</v>
      </c>
      <c r="D154" s="442">
        <v>78000</v>
      </c>
      <c r="E154" s="442">
        <v>0</v>
      </c>
      <c r="F154" s="443">
        <v>0</v>
      </c>
      <c r="G154" s="209">
        <f t="shared" si="4"/>
        <v>-78000</v>
      </c>
      <c r="J154" t="e">
        <f>VLOOKUP(A154,'BCE DIC 2019'!$A$1:$F$396,6,0)</f>
        <v>#N/A</v>
      </c>
      <c r="K154" t="e">
        <f t="shared" si="5"/>
        <v>#N/A</v>
      </c>
    </row>
    <row r="155" spans="1:11" ht="12.75">
      <c r="A155" s="441">
        <v>24452504</v>
      </c>
      <c r="B155" s="441" t="s">
        <v>374</v>
      </c>
      <c r="C155" s="442">
        <v>347431</v>
      </c>
      <c r="D155" s="442">
        <v>347471</v>
      </c>
      <c r="E155" s="442">
        <v>52629</v>
      </c>
      <c r="F155" s="443">
        <v>52589</v>
      </c>
      <c r="G155" s="209">
        <f t="shared" si="4"/>
        <v>-294842</v>
      </c>
      <c r="J155">
        <v>0</v>
      </c>
      <c r="K155">
        <f t="shared" si="5"/>
        <v>52589</v>
      </c>
    </row>
    <row r="156" spans="1:11" ht="12.75">
      <c r="A156" s="441">
        <v>243540</v>
      </c>
      <c r="B156" s="441" t="s">
        <v>375</v>
      </c>
      <c r="C156" s="442">
        <v>75481</v>
      </c>
      <c r="D156" s="442">
        <v>75481</v>
      </c>
      <c r="E156" s="442">
        <v>13655</v>
      </c>
      <c r="F156" s="443">
        <v>13655</v>
      </c>
      <c r="G156" s="209">
        <f t="shared" si="4"/>
        <v>-61826</v>
      </c>
      <c r="J156">
        <v>0</v>
      </c>
      <c r="K156">
        <f t="shared" si="5"/>
        <v>13655</v>
      </c>
    </row>
    <row r="157" spans="1:11" ht="12.75">
      <c r="A157" s="441">
        <v>24454001</v>
      </c>
      <c r="B157" s="441" t="s">
        <v>376</v>
      </c>
      <c r="C157" s="442">
        <v>75481</v>
      </c>
      <c r="D157" s="442">
        <v>75481</v>
      </c>
      <c r="E157" s="442">
        <v>13655</v>
      </c>
      <c r="F157" s="443">
        <v>13655</v>
      </c>
      <c r="G157" s="209">
        <f t="shared" si="4"/>
        <v>-61826</v>
      </c>
      <c r="J157">
        <f>VLOOKUP(A157,'BCE DIC 2019'!$A$1:$F$396,6,0)</f>
        <v>56239</v>
      </c>
      <c r="K157">
        <f t="shared" si="5"/>
        <v>-42584</v>
      </c>
    </row>
    <row r="158" spans="1:11" ht="12.75">
      <c r="A158" s="441">
        <v>243575</v>
      </c>
      <c r="B158" s="441" t="s">
        <v>377</v>
      </c>
      <c r="C158" s="442">
        <v>140350.42</v>
      </c>
      <c r="D158" s="442">
        <v>0</v>
      </c>
      <c r="E158" s="442">
        <v>86945.25</v>
      </c>
      <c r="F158" s="443">
        <v>227295.67</v>
      </c>
      <c r="G158" s="209">
        <f t="shared" si="4"/>
        <v>86945.25</v>
      </c>
      <c r="J158">
        <v>0</v>
      </c>
      <c r="K158">
        <f t="shared" si="5"/>
        <v>227295.67</v>
      </c>
    </row>
    <row r="159" spans="1:11" ht="12.75">
      <c r="A159" s="441">
        <v>24480501</v>
      </c>
      <c r="B159" s="441" t="s">
        <v>378</v>
      </c>
      <c r="C159" s="442">
        <v>140350.42</v>
      </c>
      <c r="D159" s="442">
        <v>0</v>
      </c>
      <c r="E159" s="442">
        <v>86945.25</v>
      </c>
      <c r="F159" s="443">
        <v>227295.67</v>
      </c>
      <c r="G159" s="209">
        <f t="shared" si="4"/>
        <v>86945.25</v>
      </c>
      <c r="J159">
        <f>VLOOKUP(A159,'BCE DIC 2019'!$A$1:$F$396,6,0)</f>
        <v>96687</v>
      </c>
      <c r="K159">
        <f t="shared" si="5"/>
        <v>130608.67000000001</v>
      </c>
    </row>
    <row r="160" spans="1:11" ht="12.75">
      <c r="A160" s="441">
        <v>2440</v>
      </c>
      <c r="B160" s="441" t="s">
        <v>379</v>
      </c>
      <c r="C160" s="442">
        <v>13093358</v>
      </c>
      <c r="D160" s="442">
        <v>0</v>
      </c>
      <c r="E160" s="442">
        <v>3857443</v>
      </c>
      <c r="F160" s="443">
        <v>16950801</v>
      </c>
      <c r="G160" s="209">
        <f t="shared" si="4"/>
        <v>3857443</v>
      </c>
      <c r="J160">
        <f>VLOOKUP(A160,'BCE DIC 2019'!$A$1:$F$396,6,0)</f>
        <v>11944000</v>
      </c>
      <c r="K160">
        <f t="shared" si="5"/>
        <v>5006801</v>
      </c>
    </row>
    <row r="161" spans="1:11" ht="12.75">
      <c r="A161" s="441">
        <v>244015</v>
      </c>
      <c r="B161" s="441" t="s">
        <v>380</v>
      </c>
      <c r="C161" s="442">
        <v>13093358</v>
      </c>
      <c r="D161" s="442">
        <v>0</v>
      </c>
      <c r="E161" s="442">
        <v>3857443</v>
      </c>
      <c r="F161" s="443">
        <v>16950801</v>
      </c>
      <c r="G161" s="209">
        <f t="shared" si="4"/>
        <v>3857443</v>
      </c>
      <c r="J161">
        <f>VLOOKUP(A161,'BCE DIC 2019'!$A$1:$F$396,6,0)</f>
        <v>11944000</v>
      </c>
      <c r="K161">
        <f t="shared" si="5"/>
        <v>5006801</v>
      </c>
    </row>
    <row r="162" spans="1:11" ht="12.75">
      <c r="A162" s="441">
        <v>25150501</v>
      </c>
      <c r="B162" s="441" t="s">
        <v>381</v>
      </c>
      <c r="C162" s="442">
        <v>11384746</v>
      </c>
      <c r="D162" s="442">
        <v>0</v>
      </c>
      <c r="E162" s="442">
        <v>3355081</v>
      </c>
      <c r="F162" s="443">
        <v>14739827</v>
      </c>
      <c r="G162" s="209">
        <f t="shared" si="4"/>
        <v>3355081</v>
      </c>
      <c r="J162">
        <f>VLOOKUP(A162,'BCE DIC 2019'!$A$1:$F$396,6,0)</f>
        <v>11944000</v>
      </c>
      <c r="K162">
        <f t="shared" si="5"/>
        <v>2795827</v>
      </c>
    </row>
    <row r="163" spans="1:11" ht="12.75">
      <c r="A163" s="441">
        <v>25150502</v>
      </c>
      <c r="B163" s="441" t="s">
        <v>725</v>
      </c>
      <c r="C163" s="442">
        <v>1708612</v>
      </c>
      <c r="D163" s="442">
        <v>0</v>
      </c>
      <c r="E163" s="442">
        <v>502362</v>
      </c>
      <c r="F163" s="443">
        <v>2210974</v>
      </c>
      <c r="G163" s="209">
        <f t="shared" si="4"/>
        <v>502362</v>
      </c>
      <c r="J163" t="e">
        <f>VLOOKUP(A163,'BCE DIC 2019'!$A$1:$F$396,6,0)</f>
        <v>#N/A</v>
      </c>
      <c r="K163" t="e">
        <f t="shared" si="5"/>
        <v>#N/A</v>
      </c>
    </row>
    <row r="164" spans="1:11" ht="12.75">
      <c r="A164" s="441">
        <v>2450</v>
      </c>
      <c r="B164" s="441" t="s">
        <v>382</v>
      </c>
      <c r="C164" s="442">
        <v>3087700</v>
      </c>
      <c r="D164" s="442">
        <v>3090004</v>
      </c>
      <c r="E164" s="442">
        <v>3088104</v>
      </c>
      <c r="F164" s="454">
        <v>3085800</v>
      </c>
      <c r="G164" s="209">
        <f t="shared" si="4"/>
        <v>-1900</v>
      </c>
      <c r="J164">
        <f>VLOOKUP(A164,'BCE DIC 2019'!$A$1:$F$396,6,0)</f>
        <v>2357169</v>
      </c>
      <c r="K164">
        <f t="shared" si="5"/>
        <v>728631</v>
      </c>
    </row>
    <row r="165" spans="1:11" ht="12.75">
      <c r="A165" s="441">
        <v>245005</v>
      </c>
      <c r="B165" s="441" t="s">
        <v>383</v>
      </c>
      <c r="C165" s="442">
        <v>496100</v>
      </c>
      <c r="D165" s="442">
        <v>498404</v>
      </c>
      <c r="E165" s="442">
        <v>497504</v>
      </c>
      <c r="F165" s="444">
        <v>495200</v>
      </c>
      <c r="G165" s="209">
        <f t="shared" si="4"/>
        <v>-900</v>
      </c>
      <c r="J165">
        <f>VLOOKUP(A165,'BCE DIC 2019'!$A$1:$F$396,6,0)</f>
        <v>30161</v>
      </c>
      <c r="K165">
        <f t="shared" si="5"/>
        <v>465039</v>
      </c>
    </row>
    <row r="166" spans="1:11" ht="12.75">
      <c r="A166" s="441">
        <v>24500501</v>
      </c>
      <c r="B166" s="441" t="s">
        <v>384</v>
      </c>
      <c r="C166" s="442">
        <v>496100</v>
      </c>
      <c r="D166" s="442">
        <v>498404</v>
      </c>
      <c r="E166" s="442">
        <v>497504</v>
      </c>
      <c r="F166" s="444">
        <v>495200</v>
      </c>
      <c r="G166" s="209">
        <f t="shared" si="4"/>
        <v>-900</v>
      </c>
      <c r="J166">
        <f>VLOOKUP(A166,'BCE DIC 2019'!$A$1:$F$396,6,0)</f>
        <v>30161</v>
      </c>
      <c r="K166">
        <f t="shared" si="5"/>
        <v>465039</v>
      </c>
    </row>
    <row r="167" spans="1:11" ht="12.75">
      <c r="A167" s="441">
        <v>245010</v>
      </c>
      <c r="B167" s="441" t="s">
        <v>385</v>
      </c>
      <c r="C167" s="442">
        <v>2034400</v>
      </c>
      <c r="D167" s="442">
        <v>2034400</v>
      </c>
      <c r="E167" s="442">
        <v>2031100</v>
      </c>
      <c r="F167" s="444">
        <v>2031100</v>
      </c>
      <c r="G167" s="209">
        <f t="shared" si="4"/>
        <v>-3300</v>
      </c>
      <c r="J167">
        <f>VLOOKUP(A167,'BCE DIC 2019'!$A$1:$F$396,6,0)</f>
        <v>30161</v>
      </c>
      <c r="K167">
        <f t="shared" si="5"/>
        <v>2000939</v>
      </c>
    </row>
    <row r="168" spans="1:11" ht="12.75">
      <c r="A168" s="441">
        <v>24501001</v>
      </c>
      <c r="B168" s="441" t="s">
        <v>386</v>
      </c>
      <c r="C168" s="442">
        <v>1983000</v>
      </c>
      <c r="D168" s="442">
        <v>1983000</v>
      </c>
      <c r="E168" s="442">
        <v>1979700</v>
      </c>
      <c r="F168" s="444">
        <v>1979700</v>
      </c>
      <c r="G168" s="209">
        <f t="shared" si="4"/>
        <v>-3300</v>
      </c>
      <c r="J168">
        <f>VLOOKUP(A168,'BCE DIC 2019'!$A$1:$F$396,6,0)</f>
        <v>30161</v>
      </c>
      <c r="K168">
        <f t="shared" si="5"/>
        <v>1949539</v>
      </c>
    </row>
    <row r="169" spans="1:11" ht="12.75">
      <c r="A169" s="441">
        <v>24501002</v>
      </c>
      <c r="B169" s="441" t="s">
        <v>803</v>
      </c>
      <c r="C169" s="442">
        <v>51400</v>
      </c>
      <c r="D169" s="442">
        <v>51400</v>
      </c>
      <c r="E169" s="442">
        <v>51400</v>
      </c>
      <c r="F169" s="444">
        <v>51400</v>
      </c>
      <c r="G169" s="209">
        <f t="shared" si="4"/>
        <v>0</v>
      </c>
      <c r="J169" t="e">
        <f>VLOOKUP(A169,'BCE DIC 2019'!$A$1:$F$396,6,0)</f>
        <v>#N/A</v>
      </c>
      <c r="K169" t="e">
        <f t="shared" si="5"/>
        <v>#N/A</v>
      </c>
    </row>
    <row r="170" spans="1:11" ht="12.75">
      <c r="A170" s="441">
        <v>245015</v>
      </c>
      <c r="B170" s="441" t="s">
        <v>387</v>
      </c>
      <c r="C170" s="442">
        <v>61100</v>
      </c>
      <c r="D170" s="442">
        <v>61100</v>
      </c>
      <c r="E170" s="442">
        <v>64300</v>
      </c>
      <c r="F170" s="444">
        <v>64300</v>
      </c>
      <c r="G170" s="209">
        <f t="shared" si="4"/>
        <v>3200</v>
      </c>
      <c r="J170">
        <f>VLOOKUP(A170,'BCE DIC 2019'!$A$1:$F$396,6,0)</f>
        <v>0</v>
      </c>
      <c r="K170">
        <f t="shared" si="5"/>
        <v>64300</v>
      </c>
    </row>
    <row r="171" spans="1:11" ht="12.75">
      <c r="A171" s="441">
        <v>24501501</v>
      </c>
      <c r="B171" s="441" t="s">
        <v>726</v>
      </c>
      <c r="C171" s="442">
        <v>61100</v>
      </c>
      <c r="D171" s="442">
        <v>61100</v>
      </c>
      <c r="E171" s="442">
        <v>64300</v>
      </c>
      <c r="F171" s="444">
        <v>64300</v>
      </c>
      <c r="G171" s="209">
        <f t="shared" si="4"/>
        <v>3200</v>
      </c>
      <c r="J171">
        <f>VLOOKUP(A171,'BCE DIC 2019'!$A$1:$F$396,6,0)</f>
        <v>0</v>
      </c>
      <c r="K171">
        <f t="shared" si="5"/>
        <v>64300</v>
      </c>
    </row>
    <row r="172" spans="1:11" ht="12.75">
      <c r="A172" s="441">
        <v>245020</v>
      </c>
      <c r="B172" s="441" t="s">
        <v>389</v>
      </c>
      <c r="C172" s="442">
        <v>496100</v>
      </c>
      <c r="D172" s="442">
        <v>496100</v>
      </c>
      <c r="E172" s="442">
        <v>495200</v>
      </c>
      <c r="F172" s="444">
        <v>495200</v>
      </c>
      <c r="G172" s="209">
        <f t="shared" si="4"/>
        <v>-900</v>
      </c>
      <c r="J172">
        <f>VLOOKUP(A172,'BCE DIC 2019'!$A$1:$F$396,6,0)</f>
        <v>2296847</v>
      </c>
      <c r="K172">
        <f t="shared" si="5"/>
        <v>-1801647</v>
      </c>
    </row>
    <row r="173" spans="1:11" ht="12.75">
      <c r="A173" s="441">
        <v>24502001</v>
      </c>
      <c r="B173" s="441" t="s">
        <v>390</v>
      </c>
      <c r="C173" s="442">
        <v>496100</v>
      </c>
      <c r="D173" s="442">
        <v>496100</v>
      </c>
      <c r="E173" s="442">
        <v>495200</v>
      </c>
      <c r="F173" s="444">
        <v>495200</v>
      </c>
      <c r="G173" s="209">
        <f t="shared" si="4"/>
        <v>-900</v>
      </c>
      <c r="J173">
        <f>VLOOKUP(A173,'BCE DIC 2019'!$A$1:$F$396,6,0)</f>
        <v>2296847</v>
      </c>
      <c r="K173">
        <f t="shared" si="5"/>
        <v>-1801647</v>
      </c>
    </row>
    <row r="174" spans="1:11" ht="12.75">
      <c r="A174" s="441">
        <v>2460</v>
      </c>
      <c r="B174" s="441" t="s">
        <v>391</v>
      </c>
      <c r="C174" s="442">
        <v>0</v>
      </c>
      <c r="D174" s="442">
        <v>364266221</v>
      </c>
      <c r="E174" s="442">
        <v>364266221</v>
      </c>
      <c r="F174" s="444">
        <v>0</v>
      </c>
      <c r="G174" s="209">
        <f t="shared" si="4"/>
        <v>0</v>
      </c>
      <c r="J174">
        <f>VLOOKUP(A174,'BCE DIC 2019'!$A$1:$F$396,6,0)</f>
        <v>0</v>
      </c>
      <c r="K174">
        <f t="shared" si="5"/>
        <v>0</v>
      </c>
    </row>
    <row r="175" spans="1:11" ht="12.75">
      <c r="A175" s="441">
        <v>246035</v>
      </c>
      <c r="B175" s="441" t="s">
        <v>392</v>
      </c>
      <c r="C175" s="442">
        <v>0</v>
      </c>
      <c r="D175" s="442">
        <v>364266221</v>
      </c>
      <c r="E175" s="442">
        <v>364266221</v>
      </c>
      <c r="F175" s="444">
        <v>0</v>
      </c>
      <c r="G175" s="209">
        <f t="shared" si="4"/>
        <v>0</v>
      </c>
      <c r="J175">
        <f>VLOOKUP(A175,'BCE DIC 2019'!$A$1:$F$396,6,0)</f>
        <v>0</v>
      </c>
      <c r="K175">
        <f t="shared" si="5"/>
        <v>0</v>
      </c>
    </row>
    <row r="176" spans="1:11" ht="12.75">
      <c r="A176" s="441">
        <v>24959502</v>
      </c>
      <c r="B176" s="441" t="s">
        <v>393</v>
      </c>
      <c r="C176" s="442">
        <v>0</v>
      </c>
      <c r="D176" s="442">
        <v>364266221</v>
      </c>
      <c r="E176" s="442">
        <v>364266221</v>
      </c>
      <c r="F176" s="444">
        <v>0</v>
      </c>
      <c r="G176" s="209">
        <f t="shared" si="4"/>
        <v>0</v>
      </c>
      <c r="J176">
        <f>VLOOKUP(A176,'BCE DIC 2019'!$A$1:$F$396,6,0)</f>
        <v>0</v>
      </c>
      <c r="K176">
        <f t="shared" si="5"/>
        <v>0</v>
      </c>
    </row>
    <row r="177" spans="1:11" ht="12.75">
      <c r="A177" s="441">
        <v>2465</v>
      </c>
      <c r="B177" s="441" t="s">
        <v>396</v>
      </c>
      <c r="C177" s="442">
        <v>22898843.36</v>
      </c>
      <c r="D177" s="442">
        <v>6549850</v>
      </c>
      <c r="E177" s="442">
        <v>6545321.39</v>
      </c>
      <c r="F177" s="454">
        <v>22894314.75</v>
      </c>
      <c r="G177" s="209">
        <f t="shared" si="4"/>
        <v>-4528.609999999404</v>
      </c>
      <c r="J177">
        <f>VLOOKUP(A177,'BCE DIC 2019'!$A$1:$F$396,6,0)</f>
        <v>9159955.73</v>
      </c>
      <c r="K177">
        <f t="shared" si="5"/>
        <v>13734359.02</v>
      </c>
    </row>
    <row r="178" spans="1:11" ht="12.75">
      <c r="A178" s="441">
        <v>246505</v>
      </c>
      <c r="B178" s="441" t="s">
        <v>397</v>
      </c>
      <c r="C178" s="442">
        <v>22898843.36</v>
      </c>
      <c r="D178" s="442">
        <v>6549850</v>
      </c>
      <c r="E178" s="442">
        <v>6545321.39</v>
      </c>
      <c r="F178" s="444">
        <v>22894314.75</v>
      </c>
      <c r="G178" s="209">
        <f t="shared" si="4"/>
        <v>-4528.609999999404</v>
      </c>
      <c r="J178">
        <f>VLOOKUP(A178,'BCE DIC 2019'!$A$1:$F$396,6,0)</f>
        <v>9159955.73</v>
      </c>
      <c r="K178">
        <f t="shared" si="5"/>
        <v>13734359.02</v>
      </c>
    </row>
    <row r="179" spans="1:11" ht="12.75">
      <c r="A179" s="441">
        <v>24650501</v>
      </c>
      <c r="B179" s="441" t="s">
        <v>398</v>
      </c>
      <c r="C179" s="442">
        <v>22898843.36</v>
      </c>
      <c r="D179" s="442">
        <v>6549850</v>
      </c>
      <c r="E179" s="442">
        <v>6545321.39</v>
      </c>
      <c r="F179" s="444">
        <v>22894314.75</v>
      </c>
      <c r="G179" s="209">
        <f t="shared" si="4"/>
        <v>-4528.609999999404</v>
      </c>
      <c r="J179">
        <f>VLOOKUP(A179,'BCE DIC 2019'!$A$1:$F$396,6,0)</f>
        <v>9159955.73</v>
      </c>
      <c r="K179">
        <f t="shared" si="5"/>
        <v>13734359.02</v>
      </c>
    </row>
    <row r="180" spans="1:11" ht="12.75">
      <c r="A180" s="441">
        <v>2600</v>
      </c>
      <c r="B180" s="441" t="s">
        <v>399</v>
      </c>
      <c r="C180" s="442">
        <v>19402650.62</v>
      </c>
      <c r="D180" s="442">
        <v>2500000</v>
      </c>
      <c r="E180" s="442">
        <v>196600</v>
      </c>
      <c r="F180" s="454">
        <v>17099250.62</v>
      </c>
      <c r="G180" s="209">
        <f t="shared" si="4"/>
        <v>-2303400</v>
      </c>
      <c r="H180" s="353">
        <f>19415913-F180</f>
        <v>2316662.379999999</v>
      </c>
      <c r="J180">
        <f>VLOOKUP(A180,'BCE DIC 2019'!$A$1:$F$396,6,0)</f>
        <v>11829023.39</v>
      </c>
      <c r="K180">
        <f t="shared" si="5"/>
        <v>5270227.23</v>
      </c>
    </row>
    <row r="181" spans="1:11" ht="12.75">
      <c r="A181" s="441">
        <v>2605</v>
      </c>
      <c r="B181" s="441" t="s">
        <v>400</v>
      </c>
      <c r="C181" s="442">
        <v>10544308.53</v>
      </c>
      <c r="D181" s="442">
        <v>0</v>
      </c>
      <c r="E181" s="442">
        <v>0</v>
      </c>
      <c r="F181" s="454">
        <v>10544308.53</v>
      </c>
      <c r="G181" s="209">
        <f t="shared" si="4"/>
        <v>0</v>
      </c>
      <c r="J181">
        <v>0</v>
      </c>
      <c r="K181">
        <f t="shared" si="5"/>
        <v>10544308.53</v>
      </c>
    </row>
    <row r="182" spans="1:11" ht="12.75">
      <c r="A182" s="441">
        <v>26050501</v>
      </c>
      <c r="B182" s="441" t="s">
        <v>401</v>
      </c>
      <c r="C182" s="442">
        <v>10544308.53</v>
      </c>
      <c r="D182" s="442">
        <v>0</v>
      </c>
      <c r="E182" s="442">
        <v>0</v>
      </c>
      <c r="F182" s="454">
        <v>10544308.53</v>
      </c>
      <c r="G182" s="209">
        <f t="shared" si="4"/>
        <v>0</v>
      </c>
      <c r="J182">
        <f>VLOOKUP(A182,'BCE DIC 2019'!$A$1:$F$396,6,0)</f>
        <v>8178598.4</v>
      </c>
      <c r="K182">
        <f t="shared" si="5"/>
        <v>2365710.129999999</v>
      </c>
    </row>
    <row r="183" spans="1:11" ht="12.75">
      <c r="A183" s="441">
        <v>2610</v>
      </c>
      <c r="B183" s="441" t="s">
        <v>402</v>
      </c>
      <c r="C183" s="442">
        <v>5495842.09</v>
      </c>
      <c r="D183" s="442">
        <v>2300000</v>
      </c>
      <c r="E183" s="442">
        <v>196600</v>
      </c>
      <c r="F183" s="454">
        <v>3392442.09</v>
      </c>
      <c r="G183" s="209">
        <f t="shared" si="4"/>
        <v>-2103400</v>
      </c>
      <c r="J183">
        <f>VLOOKUP(A183,'BCE DIC 2019'!$A$1:$F$396,6,0)</f>
        <v>3650424.99</v>
      </c>
      <c r="K183">
        <f t="shared" si="5"/>
        <v>-257982.90000000037</v>
      </c>
    </row>
    <row r="184" spans="1:11" ht="12.75">
      <c r="A184" s="441">
        <v>26100501</v>
      </c>
      <c r="B184" s="441" t="s">
        <v>403</v>
      </c>
      <c r="C184" s="442">
        <v>5495842.09</v>
      </c>
      <c r="D184" s="442">
        <v>2300000</v>
      </c>
      <c r="E184" s="442">
        <v>196600</v>
      </c>
      <c r="F184" s="454">
        <v>3392442.09</v>
      </c>
      <c r="G184" s="209">
        <f t="shared" si="4"/>
        <v>-2103400</v>
      </c>
      <c r="J184">
        <f>VLOOKUP(A184,'BCE DIC 2019'!$A$1:$F$396,6,0)</f>
        <v>3650424.99</v>
      </c>
      <c r="K184">
        <f t="shared" si="5"/>
        <v>-257982.90000000037</v>
      </c>
    </row>
    <row r="185" spans="1:11" ht="12.75">
      <c r="A185" s="441">
        <v>2625</v>
      </c>
      <c r="B185" s="441" t="s">
        <v>608</v>
      </c>
      <c r="C185" s="442">
        <v>3362500</v>
      </c>
      <c r="D185" s="442">
        <v>200000</v>
      </c>
      <c r="E185" s="442">
        <v>0</v>
      </c>
      <c r="F185" s="454">
        <v>3162500</v>
      </c>
      <c r="G185" s="209">
        <f t="shared" si="4"/>
        <v>-200000</v>
      </c>
      <c r="J185">
        <f>VLOOKUP(A185,'BCE DIC 2019'!$A$1:$F$396,6,0)</f>
        <v>0</v>
      </c>
      <c r="K185">
        <f t="shared" si="5"/>
        <v>3162500</v>
      </c>
    </row>
    <row r="186" spans="1:11" ht="12.75">
      <c r="A186" s="441">
        <v>26250501</v>
      </c>
      <c r="B186" s="441" t="s">
        <v>89</v>
      </c>
      <c r="C186" s="442">
        <v>3362500</v>
      </c>
      <c r="D186" s="442">
        <v>200000</v>
      </c>
      <c r="E186" s="442">
        <v>0</v>
      </c>
      <c r="F186" s="454">
        <v>3162500</v>
      </c>
      <c r="G186" s="209">
        <f t="shared" si="4"/>
        <v>-200000</v>
      </c>
      <c r="J186">
        <f>VLOOKUP(A186,'BCE DIC 2019'!$A$1:$F$396,6,0)</f>
        <v>0</v>
      </c>
      <c r="K186">
        <f t="shared" si="5"/>
        <v>3162500</v>
      </c>
    </row>
    <row r="187" spans="1:11" ht="12.75">
      <c r="A187" s="441">
        <v>2700</v>
      </c>
      <c r="B187" s="441" t="s">
        <v>404</v>
      </c>
      <c r="C187" s="442">
        <v>56432687.96</v>
      </c>
      <c r="D187" s="442">
        <v>31087755</v>
      </c>
      <c r="E187" s="442">
        <v>44797664</v>
      </c>
      <c r="F187" s="444">
        <v>70142596.96</v>
      </c>
      <c r="G187" s="209">
        <f t="shared" si="4"/>
        <v>13709908.999999993</v>
      </c>
      <c r="J187">
        <f>VLOOKUP(A187,'BCE DIC 2019'!$A$1:$F$396,6,0)</f>
        <v>78214676.24</v>
      </c>
      <c r="K187">
        <f t="shared" si="5"/>
        <v>-8072079.280000001</v>
      </c>
    </row>
    <row r="188" spans="1:11" ht="12.75">
      <c r="A188" s="441">
        <v>2710</v>
      </c>
      <c r="B188" s="441" t="s">
        <v>405</v>
      </c>
      <c r="C188" s="442">
        <v>23323075</v>
      </c>
      <c r="D188" s="442">
        <v>17005058</v>
      </c>
      <c r="E188" s="442">
        <v>14456093</v>
      </c>
      <c r="F188" s="445">
        <v>20774110</v>
      </c>
      <c r="G188" s="209">
        <f t="shared" si="4"/>
        <v>-2548965</v>
      </c>
      <c r="H188" s="353"/>
      <c r="J188">
        <f>VLOOKUP(A188,'BCE DIC 2019'!$A$1:$F$396,6,0)</f>
        <v>20245268</v>
      </c>
      <c r="K188">
        <f t="shared" si="5"/>
        <v>528842</v>
      </c>
    </row>
    <row r="189" spans="1:11" ht="12.75">
      <c r="A189" s="441">
        <v>271005</v>
      </c>
      <c r="B189" s="441" t="s">
        <v>406</v>
      </c>
      <c r="C189" s="442">
        <v>23323075</v>
      </c>
      <c r="D189" s="442">
        <v>17005058</v>
      </c>
      <c r="E189" s="442">
        <v>14456093</v>
      </c>
      <c r="F189" s="445">
        <v>20774110</v>
      </c>
      <c r="G189" s="209">
        <f t="shared" si="4"/>
        <v>-2548965</v>
      </c>
      <c r="J189">
        <f>VLOOKUP(A189,'BCE DIC 2019'!$A$1:$F$396,6,0)</f>
        <v>20245268</v>
      </c>
      <c r="K189">
        <f t="shared" si="5"/>
        <v>528842</v>
      </c>
    </row>
    <row r="190" spans="1:11" ht="12.75">
      <c r="A190" s="441">
        <v>24951001</v>
      </c>
      <c r="B190" s="441" t="s">
        <v>395</v>
      </c>
      <c r="C190" s="442">
        <v>0</v>
      </c>
      <c r="D190" s="442">
        <v>10442281</v>
      </c>
      <c r="E190" s="442">
        <v>10442281</v>
      </c>
      <c r="F190" s="445">
        <v>0</v>
      </c>
      <c r="G190" s="209">
        <f t="shared" si="4"/>
        <v>0</v>
      </c>
      <c r="J190">
        <f>VLOOKUP(A190,'BCE DIC 2019'!$A$1:$F$396,6,0)</f>
        <v>0</v>
      </c>
      <c r="K190">
        <f t="shared" si="5"/>
        <v>0</v>
      </c>
    </row>
    <row r="191" spans="1:11" ht="12.75">
      <c r="A191" s="441">
        <v>27101001</v>
      </c>
      <c r="B191" s="441" t="s">
        <v>407</v>
      </c>
      <c r="C191" s="442">
        <v>8536899</v>
      </c>
      <c r="D191" s="442">
        <v>171606</v>
      </c>
      <c r="E191" s="442">
        <v>2109454</v>
      </c>
      <c r="F191" s="445">
        <v>10474747</v>
      </c>
      <c r="G191" s="209">
        <f t="shared" si="4"/>
        <v>1937848</v>
      </c>
      <c r="J191" t="e">
        <f>VLOOKUP(A191,'BCE DIC 2019'!$A$1:$F$396,6,0)</f>
        <v>#N/A</v>
      </c>
      <c r="K191" t="e">
        <f t="shared" si="5"/>
        <v>#N/A</v>
      </c>
    </row>
    <row r="192" spans="1:11" ht="12.75">
      <c r="A192" s="441">
        <v>27101501</v>
      </c>
      <c r="B192" s="441" t="s">
        <v>408</v>
      </c>
      <c r="C192" s="442">
        <v>1863916</v>
      </c>
      <c r="D192" s="442">
        <v>884998</v>
      </c>
      <c r="E192" s="442">
        <v>227156</v>
      </c>
      <c r="F192" s="445">
        <v>1206074</v>
      </c>
      <c r="G192" s="209">
        <f t="shared" si="4"/>
        <v>-657842</v>
      </c>
      <c r="J192" t="e">
        <f>VLOOKUP(A192,'BCE DIC 2019'!$A$1:$F$396,6,0)</f>
        <v>#N/A</v>
      </c>
      <c r="K192" t="e">
        <f t="shared" si="5"/>
        <v>#N/A</v>
      </c>
    </row>
    <row r="193" spans="1:11" ht="12.75">
      <c r="A193" s="441">
        <v>27102001</v>
      </c>
      <c r="B193" s="441" t="s">
        <v>804</v>
      </c>
      <c r="C193" s="442">
        <v>4343172</v>
      </c>
      <c r="D193" s="442">
        <v>5506173</v>
      </c>
      <c r="E193" s="442">
        <v>1163001</v>
      </c>
      <c r="F193" s="445">
        <v>0</v>
      </c>
      <c r="G193" s="209">
        <f t="shared" si="4"/>
        <v>-4343172</v>
      </c>
      <c r="J193" t="e">
        <f>VLOOKUP(A193,'BCE DIC 2019'!$A$1:$F$396,6,0)</f>
        <v>#N/A</v>
      </c>
      <c r="K193" t="e">
        <f t="shared" si="5"/>
        <v>#N/A</v>
      </c>
    </row>
    <row r="194" spans="1:11" ht="12.75">
      <c r="A194" s="441">
        <v>27102501</v>
      </c>
      <c r="B194" s="441" t="s">
        <v>409</v>
      </c>
      <c r="C194" s="442">
        <v>8579088</v>
      </c>
      <c r="D194" s="442">
        <v>0</v>
      </c>
      <c r="E194" s="442">
        <v>514201</v>
      </c>
      <c r="F194" s="445">
        <v>9093289</v>
      </c>
      <c r="G194" s="209">
        <f t="shared" si="4"/>
        <v>514201</v>
      </c>
      <c r="J194" t="e">
        <f>VLOOKUP(A194,'BCE DIC 2019'!$A$1:$F$396,6,0)</f>
        <v>#N/A</v>
      </c>
      <c r="K194" t="e">
        <f t="shared" si="5"/>
        <v>#N/A</v>
      </c>
    </row>
    <row r="195" spans="1:11" ht="12.75">
      <c r="A195" s="441">
        <v>2720</v>
      </c>
      <c r="B195" s="441" t="s">
        <v>411</v>
      </c>
      <c r="C195" s="442">
        <v>10698219.96</v>
      </c>
      <c r="D195" s="442">
        <v>4714344</v>
      </c>
      <c r="E195" s="442">
        <v>20694928</v>
      </c>
      <c r="F195" s="445">
        <v>26678803.96</v>
      </c>
      <c r="G195" s="209">
        <f aca="true" t="shared" si="6" ref="G195:G258">+F195-C195</f>
        <v>15980584</v>
      </c>
      <c r="J195">
        <f>VLOOKUP(A195,'BCE DIC 2019'!$A$1:$F$396,6,0)</f>
        <v>7032342.79</v>
      </c>
      <c r="K195">
        <f aca="true" t="shared" si="7" ref="K195:K258">+F195-J195</f>
        <v>19646461.17</v>
      </c>
    </row>
    <row r="196" spans="1:11" ht="12.75">
      <c r="A196" s="441">
        <v>272005</v>
      </c>
      <c r="B196" s="441" t="s">
        <v>412</v>
      </c>
      <c r="C196" s="442">
        <v>6995720</v>
      </c>
      <c r="D196" s="442">
        <v>1591085</v>
      </c>
      <c r="E196" s="442">
        <v>1858256</v>
      </c>
      <c r="F196" s="445">
        <v>7262891</v>
      </c>
      <c r="G196" s="209">
        <f t="shared" si="6"/>
        <v>267171</v>
      </c>
      <c r="J196">
        <f>VLOOKUP(A196,'BCE DIC 2019'!$A$1:$F$396,6,0)</f>
        <v>5395360</v>
      </c>
      <c r="K196">
        <f t="shared" si="7"/>
        <v>1867531</v>
      </c>
    </row>
    <row r="197" spans="1:11" ht="12.75">
      <c r="A197" s="441">
        <v>27250501</v>
      </c>
      <c r="B197" s="441" t="s">
        <v>413</v>
      </c>
      <c r="C197" s="442">
        <v>6995720</v>
      </c>
      <c r="D197" s="442">
        <v>1591085</v>
      </c>
      <c r="E197" s="442">
        <v>1858256</v>
      </c>
      <c r="F197" s="445">
        <v>7262891</v>
      </c>
      <c r="G197" s="209">
        <f t="shared" si="6"/>
        <v>267171</v>
      </c>
      <c r="J197">
        <f>VLOOKUP(A197,'BCE DIC 2019'!$A$1:$F$396,6,0)</f>
        <v>5395360</v>
      </c>
      <c r="K197">
        <f t="shared" si="7"/>
        <v>1867531</v>
      </c>
    </row>
    <row r="198" spans="1:11" ht="12.75">
      <c r="A198" s="441">
        <v>272095</v>
      </c>
      <c r="B198" s="441" t="s">
        <v>338</v>
      </c>
      <c r="C198" s="442">
        <v>3702499.96</v>
      </c>
      <c r="D198" s="442">
        <v>3123259</v>
      </c>
      <c r="E198" s="442">
        <v>18836672</v>
      </c>
      <c r="F198" s="445">
        <v>19415912.96</v>
      </c>
      <c r="G198" s="209">
        <f t="shared" si="6"/>
        <v>15713413</v>
      </c>
      <c r="J198">
        <f>VLOOKUP(A198,'BCE DIC 2019'!$A$1:$F$396,6,0)</f>
        <v>1636982.79</v>
      </c>
      <c r="K198">
        <f t="shared" si="7"/>
        <v>17778930.17</v>
      </c>
    </row>
    <row r="199" spans="1:11" ht="12.75">
      <c r="A199" s="441">
        <v>27209501</v>
      </c>
      <c r="B199" s="441" t="s">
        <v>727</v>
      </c>
      <c r="C199" s="442">
        <v>0</v>
      </c>
      <c r="D199" s="442">
        <v>0</v>
      </c>
      <c r="E199" s="442">
        <v>17398644</v>
      </c>
      <c r="F199" s="445">
        <v>17398644</v>
      </c>
      <c r="G199" s="209">
        <f t="shared" si="6"/>
        <v>17398644</v>
      </c>
      <c r="J199" t="e">
        <f>VLOOKUP(A199,'BCE DIC 2019'!$A$1:$F$396,6,0)</f>
        <v>#N/A</v>
      </c>
      <c r="K199" t="e">
        <f t="shared" si="7"/>
        <v>#N/A</v>
      </c>
    </row>
    <row r="200" spans="1:11" ht="12.75">
      <c r="A200" s="441">
        <v>27950501</v>
      </c>
      <c r="B200" s="441" t="s">
        <v>415</v>
      </c>
      <c r="C200" s="442">
        <v>3702499.96</v>
      </c>
      <c r="D200" s="442">
        <v>3123259</v>
      </c>
      <c r="E200" s="442">
        <v>1438028</v>
      </c>
      <c r="F200" s="445">
        <v>2017268.96</v>
      </c>
      <c r="G200" s="209">
        <f t="shared" si="6"/>
        <v>-1685231</v>
      </c>
      <c r="J200">
        <f>VLOOKUP(A200,'BCE DIC 2019'!$A$1:$F$396,6,0)</f>
        <v>1636982.79</v>
      </c>
      <c r="K200">
        <f t="shared" si="7"/>
        <v>380286.1699999999</v>
      </c>
    </row>
    <row r="201" spans="1:12" ht="12.75">
      <c r="A201" s="441">
        <v>2725</v>
      </c>
      <c r="B201" s="441" t="s">
        <v>416</v>
      </c>
      <c r="C201" s="442">
        <v>22411393</v>
      </c>
      <c r="D201" s="442">
        <v>9368353</v>
      </c>
      <c r="E201" s="442">
        <v>9646643</v>
      </c>
      <c r="F201" s="453">
        <v>22689683</v>
      </c>
      <c r="G201" s="209">
        <f t="shared" si="6"/>
        <v>278290</v>
      </c>
      <c r="J201">
        <f>VLOOKUP(A201,'BCE DIC 2019'!$A$1:$F$396,6,0)</f>
        <v>50937065.45</v>
      </c>
      <c r="K201">
        <f t="shared" si="7"/>
        <v>-28247382.450000003</v>
      </c>
      <c r="L201">
        <f>+F201+F199</f>
        <v>40088327</v>
      </c>
    </row>
    <row r="202" spans="1:11" ht="12.75">
      <c r="A202" s="441">
        <v>272505</v>
      </c>
      <c r="B202" s="441" t="s">
        <v>417</v>
      </c>
      <c r="C202" s="442">
        <v>22411393</v>
      </c>
      <c r="D202" s="442">
        <v>9368353</v>
      </c>
      <c r="E202" s="442">
        <v>9646643</v>
      </c>
      <c r="F202" s="453">
        <v>22689683</v>
      </c>
      <c r="G202" s="209">
        <f t="shared" si="6"/>
        <v>278290</v>
      </c>
      <c r="J202">
        <v>0</v>
      </c>
      <c r="K202">
        <f t="shared" si="7"/>
        <v>22689683</v>
      </c>
    </row>
    <row r="203" spans="1:11" ht="12.75">
      <c r="A203" s="441">
        <v>24959503</v>
      </c>
      <c r="B203" s="441" t="s">
        <v>394</v>
      </c>
      <c r="C203" s="442">
        <v>427705</v>
      </c>
      <c r="D203" s="442">
        <v>1868158</v>
      </c>
      <c r="E203" s="442">
        <v>1298250</v>
      </c>
      <c r="F203" s="453">
        <v>-142203</v>
      </c>
      <c r="G203" s="209">
        <f t="shared" si="6"/>
        <v>-569908</v>
      </c>
      <c r="J203">
        <f>VLOOKUP(A203,'BCE DIC 2019'!$A$1:$F$396,6,0)</f>
        <v>0</v>
      </c>
      <c r="K203">
        <f t="shared" si="7"/>
        <v>-142203</v>
      </c>
    </row>
    <row r="204" spans="1:11" ht="12.75">
      <c r="A204" s="441">
        <v>27400501</v>
      </c>
      <c r="B204" s="441" t="s">
        <v>418</v>
      </c>
      <c r="C204" s="442">
        <v>19625096</v>
      </c>
      <c r="D204" s="442">
        <v>7278595</v>
      </c>
      <c r="E204" s="442">
        <v>7969193</v>
      </c>
      <c r="F204" s="453">
        <v>20315694</v>
      </c>
      <c r="G204" s="209">
        <f t="shared" si="6"/>
        <v>690598</v>
      </c>
      <c r="J204">
        <f>VLOOKUP(A204,'BCE DIC 2019'!$A$1:$F$396,6,0)</f>
        <v>7195986</v>
      </c>
      <c r="K204">
        <f t="shared" si="7"/>
        <v>13119708</v>
      </c>
    </row>
    <row r="205" spans="1:13" ht="12.75">
      <c r="A205" s="441">
        <v>27400505</v>
      </c>
      <c r="B205" s="441" t="s">
        <v>419</v>
      </c>
      <c r="C205" s="442">
        <v>2358592</v>
      </c>
      <c r="D205" s="442">
        <v>221600</v>
      </c>
      <c r="E205" s="442">
        <v>379200</v>
      </c>
      <c r="F205" s="453">
        <v>2516192</v>
      </c>
      <c r="G205" s="209">
        <f t="shared" si="6"/>
        <v>157600</v>
      </c>
      <c r="J205" t="e">
        <f>VLOOKUP(A205,'BCE DIC 2019'!$A$1:$F$396,6,0)</f>
        <v>#N/A</v>
      </c>
      <c r="K205" t="e">
        <f t="shared" si="7"/>
        <v>#N/A</v>
      </c>
      <c r="L205">
        <f>+L207</f>
        <v>148377871</v>
      </c>
      <c r="M205">
        <f>+F205-L205</f>
        <v>-145861679</v>
      </c>
    </row>
    <row r="206" spans="1:11" ht="12.75">
      <c r="A206" s="441">
        <v>2800</v>
      </c>
      <c r="B206" s="441" t="s">
        <v>728</v>
      </c>
      <c r="C206" s="442">
        <v>225000000</v>
      </c>
      <c r="D206" s="442">
        <v>285000000</v>
      </c>
      <c r="E206" s="442">
        <v>60000000</v>
      </c>
      <c r="F206" s="444">
        <v>0</v>
      </c>
      <c r="G206" s="209">
        <f t="shared" si="6"/>
        <v>-225000000</v>
      </c>
      <c r="J206" t="e">
        <f>VLOOKUP(A206,'BCE DIC 2019'!$A$1:$F$396,6,0)</f>
        <v>#N/A</v>
      </c>
      <c r="K206" t="e">
        <f t="shared" si="7"/>
        <v>#N/A</v>
      </c>
    </row>
    <row r="207" spans="1:13" ht="12.75">
      <c r="A207" s="441">
        <v>2835</v>
      </c>
      <c r="B207" s="441" t="s">
        <v>729</v>
      </c>
      <c r="C207" s="442">
        <v>225000000</v>
      </c>
      <c r="D207" s="442">
        <v>285000000</v>
      </c>
      <c r="E207" s="442">
        <v>60000000</v>
      </c>
      <c r="F207" s="444">
        <v>0</v>
      </c>
      <c r="G207" s="209">
        <f t="shared" si="6"/>
        <v>-225000000</v>
      </c>
      <c r="J207" t="e">
        <f>VLOOKUP(A207,'BCE DIC 2019'!$A$1:$F$396,6,0)</f>
        <v>#N/A</v>
      </c>
      <c r="K207" t="e">
        <f t="shared" si="7"/>
        <v>#N/A</v>
      </c>
      <c r="L207">
        <v>148377871</v>
      </c>
      <c r="M207">
        <f>+F207-L207</f>
        <v>-148377871</v>
      </c>
    </row>
    <row r="208" spans="1:11" ht="12.75">
      <c r="A208" s="441">
        <v>28350001</v>
      </c>
      <c r="B208" s="441" t="s">
        <v>805</v>
      </c>
      <c r="C208" s="442">
        <v>185000000</v>
      </c>
      <c r="D208" s="442">
        <v>245000000</v>
      </c>
      <c r="E208" s="442">
        <v>60000000</v>
      </c>
      <c r="F208" s="444">
        <v>0</v>
      </c>
      <c r="G208" s="209">
        <f t="shared" si="6"/>
        <v>-185000000</v>
      </c>
      <c r="J208">
        <v>0</v>
      </c>
      <c r="K208">
        <f t="shared" si="7"/>
        <v>0</v>
      </c>
    </row>
    <row r="209" spans="1:11" ht="12.75">
      <c r="A209" s="441">
        <v>28350501</v>
      </c>
      <c r="B209" s="441" t="s">
        <v>806</v>
      </c>
      <c r="C209" s="442">
        <v>40000000</v>
      </c>
      <c r="D209" s="442">
        <v>40000000</v>
      </c>
      <c r="E209" s="442">
        <v>0</v>
      </c>
      <c r="F209" s="444">
        <v>0</v>
      </c>
      <c r="G209" s="209">
        <f t="shared" si="6"/>
        <v>-40000000</v>
      </c>
      <c r="J209" t="e">
        <f>VLOOKUP(A209,'BCE DIC 2019'!$A$1:$F$396,6,0)</f>
        <v>#N/A</v>
      </c>
      <c r="K209" t="e">
        <f t="shared" si="7"/>
        <v>#N/A</v>
      </c>
    </row>
    <row r="210" spans="1:11" ht="12.75">
      <c r="A210" s="441">
        <v>3000</v>
      </c>
      <c r="B210" s="441" t="s">
        <v>65</v>
      </c>
      <c r="C210" s="442">
        <v>7971720206.57</v>
      </c>
      <c r="D210" s="442">
        <v>8844605.39</v>
      </c>
      <c r="E210" s="442">
        <v>92475725</v>
      </c>
      <c r="F210" s="444">
        <v>8055351326.18</v>
      </c>
      <c r="G210" s="209">
        <f t="shared" si="6"/>
        <v>83631119.61000061</v>
      </c>
      <c r="J210">
        <f>VLOOKUP(A210,'BCE DIC 2019'!$A$1:$F$396,6,0)</f>
        <v>6824003575.31</v>
      </c>
      <c r="K210">
        <f t="shared" si="7"/>
        <v>1231347750.87</v>
      </c>
    </row>
    <row r="211" spans="1:11" ht="12.75">
      <c r="A211" s="441">
        <v>3100</v>
      </c>
      <c r="B211" s="441" t="s">
        <v>420</v>
      </c>
      <c r="C211" s="442">
        <v>6740160154.06</v>
      </c>
      <c r="D211" s="442">
        <v>8844605.39</v>
      </c>
      <c r="E211" s="442">
        <v>92475725</v>
      </c>
      <c r="F211" s="444">
        <v>6823791273.67</v>
      </c>
      <c r="G211" s="209">
        <f t="shared" si="6"/>
        <v>83631119.60999966</v>
      </c>
      <c r="J211">
        <f>VLOOKUP(A211,'BCE DIC 2019'!$A$1:$F$396,6,0)</f>
        <v>5633161745.8</v>
      </c>
      <c r="K211">
        <f t="shared" si="7"/>
        <v>1190629527.87</v>
      </c>
    </row>
    <row r="212" spans="1:11" ht="12.75">
      <c r="A212" s="441">
        <v>3105</v>
      </c>
      <c r="B212" s="441" t="s">
        <v>421</v>
      </c>
      <c r="C212" s="442">
        <v>6740160154.06</v>
      </c>
      <c r="D212" s="442">
        <v>8844605.39</v>
      </c>
      <c r="E212" s="442">
        <v>92475725</v>
      </c>
      <c r="F212" s="444">
        <v>6823791273.67</v>
      </c>
      <c r="G212" s="209">
        <f t="shared" si="6"/>
        <v>83631119.60999966</v>
      </c>
      <c r="J212">
        <f>VLOOKUP(A212,'BCE DIC 2019'!$A$1:$F$396,6,0)</f>
        <v>5633161745.8</v>
      </c>
      <c r="K212">
        <f t="shared" si="7"/>
        <v>1190629527.87</v>
      </c>
    </row>
    <row r="213" spans="1:11" ht="12.75">
      <c r="A213" s="441">
        <v>310505</v>
      </c>
      <c r="B213" s="441" t="s">
        <v>422</v>
      </c>
      <c r="C213" s="442">
        <v>6740160154.06</v>
      </c>
      <c r="D213" s="442">
        <v>8844605.39</v>
      </c>
      <c r="E213" s="442">
        <v>92475725</v>
      </c>
      <c r="F213" s="444">
        <v>6823791273.67</v>
      </c>
      <c r="G213" s="209">
        <f t="shared" si="6"/>
        <v>83631119.60999966</v>
      </c>
      <c r="J213">
        <f>VLOOKUP(A213,'BCE DIC 2019'!$A$1:$F$396,6,0)</f>
        <v>5633161745.8</v>
      </c>
      <c r="K213">
        <f t="shared" si="7"/>
        <v>1190629527.87</v>
      </c>
    </row>
    <row r="214" spans="1:11" ht="12.75">
      <c r="A214" s="441">
        <v>31050501</v>
      </c>
      <c r="B214" s="441" t="s">
        <v>66</v>
      </c>
      <c r="C214" s="442">
        <v>6740160154.06</v>
      </c>
      <c r="D214" s="442">
        <v>8844605.39</v>
      </c>
      <c r="E214" s="442">
        <v>92475725</v>
      </c>
      <c r="F214" s="444">
        <v>6823791273.67</v>
      </c>
      <c r="G214" s="209">
        <f t="shared" si="6"/>
        <v>83631119.60999966</v>
      </c>
      <c r="J214">
        <f>VLOOKUP(A214,'BCE DIC 2019'!$A$1:$F$396,6,0)</f>
        <v>5633161745.8</v>
      </c>
      <c r="K214">
        <f t="shared" si="7"/>
        <v>1190629527.87</v>
      </c>
    </row>
    <row r="215" spans="1:11" ht="12.75">
      <c r="A215" s="441">
        <v>3200</v>
      </c>
      <c r="B215" s="441" t="s">
        <v>423</v>
      </c>
      <c r="C215" s="442">
        <v>499386870.95</v>
      </c>
      <c r="D215" s="442">
        <v>0</v>
      </c>
      <c r="E215" s="442">
        <v>0</v>
      </c>
      <c r="F215" s="444">
        <v>499386870.95</v>
      </c>
      <c r="G215" s="209">
        <f t="shared" si="6"/>
        <v>0</v>
      </c>
      <c r="J215">
        <f>VLOOKUP(A215,'BCE DIC 2019'!$A$1:$F$396,6,0)</f>
        <v>440067928.95</v>
      </c>
      <c r="K215">
        <f t="shared" si="7"/>
        <v>59318942</v>
      </c>
    </row>
    <row r="216" spans="1:11" ht="12.75">
      <c r="A216" s="441">
        <v>3205</v>
      </c>
      <c r="B216" s="441" t="s">
        <v>424</v>
      </c>
      <c r="C216" s="442">
        <v>475853580.35</v>
      </c>
      <c r="D216" s="442">
        <v>0</v>
      </c>
      <c r="E216" s="442">
        <v>0</v>
      </c>
      <c r="F216" s="444">
        <v>475853580.35</v>
      </c>
      <c r="G216" s="209">
        <f t="shared" si="6"/>
        <v>0</v>
      </c>
      <c r="J216">
        <f>VLOOKUP(A216,'BCE DIC 2019'!$A$1:$F$396,6,0)</f>
        <v>416534638.35</v>
      </c>
      <c r="K216">
        <f t="shared" si="7"/>
        <v>59318942</v>
      </c>
    </row>
    <row r="217" spans="1:11" ht="12.75">
      <c r="A217" s="441">
        <v>32050501</v>
      </c>
      <c r="B217" s="441" t="s">
        <v>425</v>
      </c>
      <c r="C217" s="442">
        <v>475853580.35</v>
      </c>
      <c r="D217" s="442">
        <v>0</v>
      </c>
      <c r="E217" s="442">
        <v>0</v>
      </c>
      <c r="F217" s="444">
        <v>475853580.35</v>
      </c>
      <c r="G217" s="209">
        <f t="shared" si="6"/>
        <v>0</v>
      </c>
      <c r="J217">
        <f>VLOOKUP(A217,'BCE DIC 2019'!$A$1:$F$396,6,0)</f>
        <v>416534638.35</v>
      </c>
      <c r="K217">
        <f t="shared" si="7"/>
        <v>59318942</v>
      </c>
    </row>
    <row r="218" spans="1:11" ht="12.75">
      <c r="A218" s="441">
        <v>3280</v>
      </c>
      <c r="B218" s="441" t="s">
        <v>426</v>
      </c>
      <c r="C218" s="442">
        <v>23533290.6</v>
      </c>
      <c r="D218" s="442">
        <v>0</v>
      </c>
      <c r="E218" s="442">
        <v>0</v>
      </c>
      <c r="F218" s="444">
        <v>23533290.6</v>
      </c>
      <c r="G218" s="209">
        <f t="shared" si="6"/>
        <v>0</v>
      </c>
      <c r="J218">
        <f>VLOOKUP(A218,'BCE DIC 2019'!$A$1:$F$396,6,0)</f>
        <v>23533290.6</v>
      </c>
      <c r="K218">
        <f t="shared" si="7"/>
        <v>0</v>
      </c>
    </row>
    <row r="219" spans="1:11" ht="12.75">
      <c r="A219" s="441">
        <v>32800501</v>
      </c>
      <c r="B219" s="441" t="s">
        <v>73</v>
      </c>
      <c r="C219" s="442">
        <v>23533290.6</v>
      </c>
      <c r="D219" s="442">
        <v>0</v>
      </c>
      <c r="E219" s="442">
        <v>0</v>
      </c>
      <c r="F219" s="444">
        <v>23533290.6</v>
      </c>
      <c r="G219" s="209">
        <f t="shared" si="6"/>
        <v>0</v>
      </c>
      <c r="J219">
        <f>VLOOKUP(A219,'BCE DIC 2019'!$A$1:$F$396,6,0)</f>
        <v>23533290.6</v>
      </c>
      <c r="K219">
        <f t="shared" si="7"/>
        <v>0</v>
      </c>
    </row>
    <row r="220" spans="1:11" ht="12.75">
      <c r="A220" s="441">
        <v>3300</v>
      </c>
      <c r="B220" s="441" t="s">
        <v>427</v>
      </c>
      <c r="C220" s="442">
        <v>267483181.56</v>
      </c>
      <c r="D220" s="442">
        <v>0</v>
      </c>
      <c r="E220" s="442">
        <v>0</v>
      </c>
      <c r="F220" s="444">
        <v>267483181.56</v>
      </c>
      <c r="G220" s="209">
        <f t="shared" si="6"/>
        <v>0</v>
      </c>
      <c r="J220">
        <f>VLOOKUP(A220,'BCE DIC 2019'!$A$1:$F$396,6,0)</f>
        <v>267483181.56</v>
      </c>
      <c r="K220">
        <f t="shared" si="7"/>
        <v>0</v>
      </c>
    </row>
    <row r="221" spans="1:11" ht="12.75">
      <c r="A221" s="441">
        <v>3305</v>
      </c>
      <c r="B221" s="441" t="s">
        <v>428</v>
      </c>
      <c r="C221" s="442">
        <v>14745982.71</v>
      </c>
      <c r="D221" s="442">
        <v>0</v>
      </c>
      <c r="E221" s="442">
        <v>0</v>
      </c>
      <c r="F221" s="444">
        <v>14745982.71</v>
      </c>
      <c r="G221" s="209">
        <f t="shared" si="6"/>
        <v>0</v>
      </c>
      <c r="J221">
        <f>VLOOKUP(A221,'BCE DIC 2019'!$A$1:$F$396,6,0)</f>
        <v>14745982.71</v>
      </c>
      <c r="K221">
        <f t="shared" si="7"/>
        <v>0</v>
      </c>
    </row>
    <row r="222" spans="1:11" ht="12.75">
      <c r="A222" s="441">
        <v>33050501</v>
      </c>
      <c r="B222" s="441" t="s">
        <v>429</v>
      </c>
      <c r="C222" s="442">
        <v>14745982.71</v>
      </c>
      <c r="D222" s="442">
        <v>0</v>
      </c>
      <c r="E222" s="442">
        <v>0</v>
      </c>
      <c r="F222" s="444">
        <v>14745982.71</v>
      </c>
      <c r="G222" s="209">
        <f t="shared" si="6"/>
        <v>0</v>
      </c>
      <c r="J222">
        <f>VLOOKUP(A222,'BCE DIC 2019'!$A$1:$F$396,6,0)</f>
        <v>14745982.71</v>
      </c>
      <c r="K222">
        <f t="shared" si="7"/>
        <v>0</v>
      </c>
    </row>
    <row r="223" spans="1:11" ht="12.75">
      <c r="A223" s="441">
        <v>3325</v>
      </c>
      <c r="B223" s="441" t="s">
        <v>430</v>
      </c>
      <c r="C223" s="442">
        <v>10977610.85</v>
      </c>
      <c r="D223" s="442">
        <v>0</v>
      </c>
      <c r="E223" s="442">
        <v>0</v>
      </c>
      <c r="F223" s="444">
        <v>10977610.85</v>
      </c>
      <c r="G223" s="209">
        <f t="shared" si="6"/>
        <v>0</v>
      </c>
      <c r="J223">
        <f>VLOOKUP(A223,'BCE DIC 2019'!$A$1:$F$396,6,0)</f>
        <v>10977610.85</v>
      </c>
      <c r="K223">
        <f t="shared" si="7"/>
        <v>0</v>
      </c>
    </row>
    <row r="224" spans="1:11" ht="12.75">
      <c r="A224" s="441">
        <v>33250501</v>
      </c>
      <c r="B224" s="441" t="s">
        <v>431</v>
      </c>
      <c r="C224" s="442">
        <v>10977610.85</v>
      </c>
      <c r="D224" s="442">
        <v>0</v>
      </c>
      <c r="E224" s="442">
        <v>0</v>
      </c>
      <c r="F224" s="444">
        <v>10977610.85</v>
      </c>
      <c r="G224" s="209">
        <f t="shared" si="6"/>
        <v>0</v>
      </c>
      <c r="J224">
        <f>VLOOKUP(A224,'BCE DIC 2019'!$A$1:$F$396,6,0)</f>
        <v>10977610.85</v>
      </c>
      <c r="K224">
        <f t="shared" si="7"/>
        <v>0</v>
      </c>
    </row>
    <row r="225" spans="1:11" ht="12.75">
      <c r="A225" s="441">
        <v>3330</v>
      </c>
      <c r="B225" s="441" t="s">
        <v>432</v>
      </c>
      <c r="C225" s="442">
        <v>241759588</v>
      </c>
      <c r="D225" s="442">
        <v>0</v>
      </c>
      <c r="E225" s="442">
        <v>0</v>
      </c>
      <c r="F225" s="444">
        <v>241759588</v>
      </c>
      <c r="G225" s="209">
        <f t="shared" si="6"/>
        <v>0</v>
      </c>
      <c r="J225">
        <f>VLOOKUP(A225,'BCE DIC 2019'!$A$1:$F$396,6,0)</f>
        <v>241759588</v>
      </c>
      <c r="K225">
        <f t="shared" si="7"/>
        <v>0</v>
      </c>
    </row>
    <row r="226" spans="1:11" ht="12.75">
      <c r="A226" s="441">
        <v>33300501</v>
      </c>
      <c r="B226" s="441" t="s">
        <v>433</v>
      </c>
      <c r="C226" s="442">
        <v>185000000</v>
      </c>
      <c r="D226" s="442">
        <v>0</v>
      </c>
      <c r="E226" s="442">
        <v>0</v>
      </c>
      <c r="F226" s="444">
        <v>185000000</v>
      </c>
      <c r="G226" s="209">
        <f t="shared" si="6"/>
        <v>0</v>
      </c>
      <c r="J226">
        <f>VLOOKUP(A226,'BCE DIC 2019'!$A$1:$F$396,6,0)</f>
        <v>185000000</v>
      </c>
      <c r="K226">
        <f t="shared" si="7"/>
        <v>0</v>
      </c>
    </row>
    <row r="227" spans="1:11" ht="12.75">
      <c r="A227" s="441">
        <v>33300502</v>
      </c>
      <c r="B227" s="441" t="s">
        <v>434</v>
      </c>
      <c r="C227" s="442">
        <v>20588388</v>
      </c>
      <c r="D227" s="442">
        <v>0</v>
      </c>
      <c r="E227" s="442">
        <v>0</v>
      </c>
      <c r="F227" s="444">
        <v>20588388</v>
      </c>
      <c r="G227" s="209">
        <f t="shared" si="6"/>
        <v>0</v>
      </c>
      <c r="J227">
        <f>VLOOKUP(A227,'BCE DIC 2019'!$A$1:$F$396,6,0)</f>
        <v>20588388</v>
      </c>
      <c r="K227">
        <f t="shared" si="7"/>
        <v>0</v>
      </c>
    </row>
    <row r="228" spans="1:11" ht="12.75">
      <c r="A228" s="441">
        <v>33300503</v>
      </c>
      <c r="B228" s="441" t="s">
        <v>435</v>
      </c>
      <c r="C228" s="442">
        <v>36171200</v>
      </c>
      <c r="D228" s="442">
        <v>0</v>
      </c>
      <c r="E228" s="442">
        <v>0</v>
      </c>
      <c r="F228" s="444">
        <v>36171200</v>
      </c>
      <c r="G228" s="209">
        <f t="shared" si="6"/>
        <v>0</v>
      </c>
      <c r="J228">
        <v>0</v>
      </c>
      <c r="K228">
        <f t="shared" si="7"/>
        <v>36171200</v>
      </c>
    </row>
    <row r="229" spans="1:11" ht="12.75">
      <c r="A229" s="441">
        <v>3700</v>
      </c>
      <c r="B229" s="441" t="s">
        <v>436</v>
      </c>
      <c r="C229" s="442">
        <v>464690000</v>
      </c>
      <c r="D229" s="442">
        <v>0</v>
      </c>
      <c r="E229" s="442">
        <v>0</v>
      </c>
      <c r="F229" s="444">
        <v>464690000</v>
      </c>
      <c r="G229" s="209">
        <f t="shared" si="6"/>
        <v>0</v>
      </c>
      <c r="J229">
        <v>0</v>
      </c>
      <c r="K229">
        <f t="shared" si="7"/>
        <v>464690000</v>
      </c>
    </row>
    <row r="230" spans="1:11" ht="12.75">
      <c r="A230" s="441">
        <v>3705</v>
      </c>
      <c r="B230" s="441" t="s">
        <v>437</v>
      </c>
      <c r="C230" s="442">
        <v>464690000</v>
      </c>
      <c r="D230" s="442">
        <v>0</v>
      </c>
      <c r="E230" s="442">
        <v>0</v>
      </c>
      <c r="F230" s="444">
        <v>464690000</v>
      </c>
      <c r="G230" s="209">
        <f t="shared" si="6"/>
        <v>0</v>
      </c>
      <c r="J230">
        <v>0</v>
      </c>
      <c r="K230">
        <f t="shared" si="7"/>
        <v>464690000</v>
      </c>
    </row>
    <row r="231" spans="1:11" ht="12.75">
      <c r="A231" s="441">
        <v>37050001</v>
      </c>
      <c r="B231" s="441" t="s">
        <v>438</v>
      </c>
      <c r="C231" s="442">
        <v>464690000</v>
      </c>
      <c r="D231" s="442">
        <v>0</v>
      </c>
      <c r="E231" s="442">
        <v>0</v>
      </c>
      <c r="F231" s="444">
        <v>464690000</v>
      </c>
      <c r="G231" s="209">
        <f t="shared" si="6"/>
        <v>0</v>
      </c>
      <c r="J231" t="e">
        <f>VLOOKUP(A231,'BCE DIC 2019'!$A$1:$F$396,6,0)</f>
        <v>#N/A</v>
      </c>
      <c r="K231" t="e">
        <f t="shared" si="7"/>
        <v>#N/A</v>
      </c>
    </row>
    <row r="232" spans="1:11" ht="12.75">
      <c r="A232" s="441">
        <v>4000</v>
      </c>
      <c r="B232" s="441" t="s">
        <v>439</v>
      </c>
      <c r="C232" s="442">
        <v>956329642.35</v>
      </c>
      <c r="D232" s="442">
        <v>0</v>
      </c>
      <c r="E232" s="442">
        <v>96515183.43</v>
      </c>
      <c r="F232" s="444">
        <v>1052844825.78</v>
      </c>
      <c r="G232" s="209">
        <f t="shared" si="6"/>
        <v>96515183.42999995</v>
      </c>
      <c r="J232">
        <f>VLOOKUP(A232,'BCE DIC 2019'!$A$1:$F$396,6,0)</f>
        <v>940778485</v>
      </c>
      <c r="K232">
        <f t="shared" si="7"/>
        <v>112066340.77999997</v>
      </c>
    </row>
    <row r="233" spans="1:11" ht="12.75">
      <c r="A233" s="441">
        <v>4100</v>
      </c>
      <c r="B233" s="441" t="s">
        <v>440</v>
      </c>
      <c r="C233" s="442">
        <v>712733181.05</v>
      </c>
      <c r="D233" s="442">
        <v>0</v>
      </c>
      <c r="E233" s="442">
        <v>73040260.84</v>
      </c>
      <c r="F233" s="444">
        <v>785773441.89</v>
      </c>
      <c r="G233" s="209">
        <f t="shared" si="6"/>
        <v>73040260.84000003</v>
      </c>
      <c r="J233">
        <f>VLOOKUP(A233,'BCE DIC 2019'!$A$1:$F$396,6,0)</f>
        <v>785018133</v>
      </c>
      <c r="K233">
        <f t="shared" si="7"/>
        <v>755308.8899999857</v>
      </c>
    </row>
    <row r="234" spans="1:11" ht="12.75">
      <c r="A234" s="441">
        <v>4150</v>
      </c>
      <c r="B234" s="441" t="s">
        <v>441</v>
      </c>
      <c r="C234" s="442">
        <v>712733181.05</v>
      </c>
      <c r="D234" s="442">
        <v>0</v>
      </c>
      <c r="E234" s="442">
        <v>73040260.84</v>
      </c>
      <c r="F234" s="444">
        <v>785773441.89</v>
      </c>
      <c r="G234" s="209">
        <f t="shared" si="6"/>
        <v>73040260.84000003</v>
      </c>
      <c r="J234">
        <f>VLOOKUP(A234,'BCE DIC 2019'!$A$1:$F$396,6,0)</f>
        <v>785018133</v>
      </c>
      <c r="K234">
        <f t="shared" si="7"/>
        <v>755308.8899999857</v>
      </c>
    </row>
    <row r="235" spans="1:11" ht="12.75">
      <c r="A235" s="441">
        <v>415010</v>
      </c>
      <c r="B235" s="441" t="s">
        <v>442</v>
      </c>
      <c r="C235" s="442">
        <v>699024007.05</v>
      </c>
      <c r="D235" s="442">
        <v>0</v>
      </c>
      <c r="E235" s="442">
        <v>71487432.84</v>
      </c>
      <c r="F235" s="444">
        <v>770511439.89</v>
      </c>
      <c r="G235" s="209">
        <f t="shared" si="6"/>
        <v>71487432.84000003</v>
      </c>
      <c r="J235">
        <f>VLOOKUP(A235,'BCE DIC 2019'!$A$1:$F$396,6,0)</f>
        <v>773088253</v>
      </c>
      <c r="K235">
        <f t="shared" si="7"/>
        <v>-2576813.1100000143</v>
      </c>
    </row>
    <row r="236" spans="1:11" ht="12.75">
      <c r="A236" s="441">
        <v>4185100101</v>
      </c>
      <c r="B236" s="441" t="s">
        <v>443</v>
      </c>
      <c r="C236" s="442">
        <v>699024007.05</v>
      </c>
      <c r="D236" s="442">
        <v>0</v>
      </c>
      <c r="E236" s="442">
        <v>71487432.84</v>
      </c>
      <c r="F236" s="444">
        <v>770511439.89</v>
      </c>
      <c r="G236" s="209">
        <f t="shared" si="6"/>
        <v>71487432.84000003</v>
      </c>
      <c r="J236">
        <f>VLOOKUP(A236,'BCE DIC 2019'!$A$1:$F$396,6,0)</f>
        <v>773088253</v>
      </c>
      <c r="K236">
        <f t="shared" si="7"/>
        <v>-2576813.1100000143</v>
      </c>
    </row>
    <row r="237" spans="1:11" ht="12.75">
      <c r="A237" s="441">
        <v>415040</v>
      </c>
      <c r="B237" s="441" t="s">
        <v>445</v>
      </c>
      <c r="C237" s="442">
        <v>13709174</v>
      </c>
      <c r="D237" s="442">
        <v>0</v>
      </c>
      <c r="E237" s="442">
        <v>1552828</v>
      </c>
      <c r="F237" s="444">
        <v>15262002</v>
      </c>
      <c r="G237" s="209">
        <f t="shared" si="6"/>
        <v>1552828</v>
      </c>
      <c r="J237">
        <f>VLOOKUP(A237,'BCE DIC 2019'!$A$1:$F$396,6,0)</f>
        <v>12346204</v>
      </c>
      <c r="K237">
        <f t="shared" si="7"/>
        <v>2915798</v>
      </c>
    </row>
    <row r="238" spans="1:11" ht="12.75">
      <c r="A238" s="441">
        <v>4185100201</v>
      </c>
      <c r="B238" s="441" t="s">
        <v>446</v>
      </c>
      <c r="C238" s="442">
        <v>13709174</v>
      </c>
      <c r="D238" s="442">
        <v>0</v>
      </c>
      <c r="E238" s="442">
        <v>1552828</v>
      </c>
      <c r="F238" s="444">
        <v>15262002</v>
      </c>
      <c r="G238" s="209">
        <f t="shared" si="6"/>
        <v>1552828</v>
      </c>
      <c r="J238">
        <f>VLOOKUP(A238,'BCE DIC 2019'!$A$1:$F$396,6,0)</f>
        <v>12346204</v>
      </c>
      <c r="K238">
        <f t="shared" si="7"/>
        <v>2915798</v>
      </c>
    </row>
    <row r="239" spans="1:11" ht="12.75">
      <c r="A239" s="441">
        <v>4200</v>
      </c>
      <c r="B239" s="441" t="s">
        <v>447</v>
      </c>
      <c r="C239" s="442">
        <v>243596461.3</v>
      </c>
      <c r="D239" s="442">
        <v>0</v>
      </c>
      <c r="E239" s="442">
        <v>23474922.59</v>
      </c>
      <c r="F239" s="444">
        <v>267071383.89</v>
      </c>
      <c r="G239" s="209">
        <f t="shared" si="6"/>
        <v>23474922.589999974</v>
      </c>
      <c r="J239">
        <f>VLOOKUP(A239,'BCE DIC 2019'!$A$1:$F$396,6,0)</f>
        <v>155760352</v>
      </c>
      <c r="K239">
        <f t="shared" si="7"/>
        <v>111311031.88999999</v>
      </c>
    </row>
    <row r="240" spans="1:11" ht="12.75">
      <c r="A240" s="441">
        <v>4210</v>
      </c>
      <c r="B240" s="441" t="s">
        <v>611</v>
      </c>
      <c r="C240" s="442">
        <v>92310398</v>
      </c>
      <c r="D240" s="442">
        <v>0</v>
      </c>
      <c r="E240" s="442">
        <v>22455143</v>
      </c>
      <c r="F240" s="444">
        <v>114765541</v>
      </c>
      <c r="G240" s="209">
        <f t="shared" si="6"/>
        <v>22455143</v>
      </c>
      <c r="J240">
        <f>VLOOKUP(A240,'BCE DIC 2019'!$A$1:$F$396,6,0)</f>
        <v>53408527</v>
      </c>
      <c r="K240">
        <f t="shared" si="7"/>
        <v>61357014</v>
      </c>
    </row>
    <row r="241" spans="1:11" ht="12.75">
      <c r="A241" s="441">
        <v>421005</v>
      </c>
      <c r="B241" s="441" t="s">
        <v>612</v>
      </c>
      <c r="C241" s="442">
        <v>92310398</v>
      </c>
      <c r="D241" s="442">
        <v>0</v>
      </c>
      <c r="E241" s="442">
        <v>22455143</v>
      </c>
      <c r="F241" s="444">
        <v>114765541</v>
      </c>
      <c r="G241" s="209">
        <f t="shared" si="6"/>
        <v>22455143</v>
      </c>
      <c r="J241">
        <f>VLOOKUP(A241,'BCE DIC 2019'!$A$1:$F$396,6,0)</f>
        <v>53408527</v>
      </c>
      <c r="K241">
        <f t="shared" si="7"/>
        <v>61357014</v>
      </c>
    </row>
    <row r="242" spans="1:11" ht="12.75">
      <c r="A242" s="441">
        <v>42100502</v>
      </c>
      <c r="B242" s="441" t="s">
        <v>449</v>
      </c>
      <c r="C242" s="442">
        <v>92190651</v>
      </c>
      <c r="D242" s="442">
        <v>0</v>
      </c>
      <c r="E242" s="442">
        <v>22429298</v>
      </c>
      <c r="F242" s="444">
        <v>114619949</v>
      </c>
      <c r="G242" s="209">
        <f t="shared" si="6"/>
        <v>22429298</v>
      </c>
      <c r="J242">
        <f>VLOOKUP(A242,'BCE DIC 2019'!$A$1:$F$396,6,0)</f>
        <v>53408527</v>
      </c>
      <c r="K242">
        <f t="shared" si="7"/>
        <v>61211422</v>
      </c>
    </row>
    <row r="243" spans="1:12" ht="12.75">
      <c r="A243" s="441">
        <v>42100503</v>
      </c>
      <c r="B243" s="441" t="s">
        <v>731</v>
      </c>
      <c r="C243" s="442">
        <v>119747</v>
      </c>
      <c r="D243" s="442">
        <v>0</v>
      </c>
      <c r="E243" s="442">
        <v>25845</v>
      </c>
      <c r="F243" s="444">
        <v>145592</v>
      </c>
      <c r="G243" s="209">
        <f t="shared" si="6"/>
        <v>25845</v>
      </c>
      <c r="J243" t="e">
        <f>VLOOKUP(A243,'BCE DIC 2019'!$A$1:$F$396,6,0)</f>
        <v>#N/A</v>
      </c>
      <c r="K243" t="e">
        <f t="shared" si="7"/>
        <v>#N/A</v>
      </c>
      <c r="L243">
        <f>+F243+F244</f>
        <v>671683.65</v>
      </c>
    </row>
    <row r="244" spans="1:11" ht="12.75">
      <c r="A244" s="441">
        <v>4220</v>
      </c>
      <c r="B244" s="441" t="s">
        <v>447</v>
      </c>
      <c r="C244" s="442">
        <v>211068.5</v>
      </c>
      <c r="D244" s="442">
        <v>0</v>
      </c>
      <c r="E244" s="442">
        <v>315023.15</v>
      </c>
      <c r="F244" s="444">
        <v>526091.65</v>
      </c>
      <c r="G244" s="209">
        <f t="shared" si="6"/>
        <v>315023.15</v>
      </c>
      <c r="J244">
        <f>VLOOKUP(A244,'BCE DIC 2019'!$A$1:$F$396,6,0)</f>
        <v>959635</v>
      </c>
      <c r="K244">
        <f t="shared" si="7"/>
        <v>-433543.35</v>
      </c>
    </row>
    <row r="245" spans="1:11" ht="12.75">
      <c r="A245" s="441">
        <v>422004</v>
      </c>
      <c r="B245" s="441" t="s">
        <v>613</v>
      </c>
      <c r="C245" s="442">
        <v>211068.5</v>
      </c>
      <c r="D245" s="442">
        <v>0</v>
      </c>
      <c r="E245" s="442">
        <v>315023.15</v>
      </c>
      <c r="F245" s="444">
        <v>526091.65</v>
      </c>
      <c r="G245" s="209">
        <f t="shared" si="6"/>
        <v>315023.15</v>
      </c>
      <c r="J245">
        <f>VLOOKUP(A245,'BCE DIC 2019'!$A$1:$F$396,6,0)</f>
        <v>645773</v>
      </c>
      <c r="K245">
        <f t="shared" si="7"/>
        <v>-119681.34999999998</v>
      </c>
    </row>
    <row r="246" spans="1:11" ht="12.75">
      <c r="A246" s="441">
        <v>42100501</v>
      </c>
      <c r="B246" s="441" t="s">
        <v>614</v>
      </c>
      <c r="C246" s="442">
        <v>211068.5</v>
      </c>
      <c r="D246" s="442">
        <v>0</v>
      </c>
      <c r="E246" s="442">
        <v>315023.15</v>
      </c>
      <c r="F246" s="444">
        <v>526091.65</v>
      </c>
      <c r="G246" s="209">
        <f t="shared" si="6"/>
        <v>315023.15</v>
      </c>
      <c r="J246">
        <f>VLOOKUP(A246,'BCE DIC 2019'!$A$1:$F$396,6,0)</f>
        <v>645773</v>
      </c>
      <c r="K246">
        <f t="shared" si="7"/>
        <v>-119681.34999999998</v>
      </c>
    </row>
    <row r="247" spans="1:11" ht="12.75">
      <c r="A247" s="441">
        <v>4225</v>
      </c>
      <c r="B247" s="441" t="s">
        <v>451</v>
      </c>
      <c r="C247" s="442">
        <v>150933945.55</v>
      </c>
      <c r="D247" s="442">
        <v>0</v>
      </c>
      <c r="E247" s="442">
        <v>488988.99</v>
      </c>
      <c r="F247" s="444">
        <v>151422934.54</v>
      </c>
      <c r="G247" s="209">
        <f t="shared" si="6"/>
        <v>488988.98999997973</v>
      </c>
      <c r="J247">
        <f>VLOOKUP(A247,'BCE DIC 2019'!$A$1:$F$396,6,0)</f>
        <v>101368361.42</v>
      </c>
      <c r="K247">
        <f t="shared" si="7"/>
        <v>50054573.11999999</v>
      </c>
    </row>
    <row r="248" spans="1:11" ht="12.75">
      <c r="A248" s="441">
        <v>422512</v>
      </c>
      <c r="B248" s="441" t="s">
        <v>452</v>
      </c>
      <c r="C248" s="442">
        <v>54515949.55</v>
      </c>
      <c r="D248" s="442">
        <v>0</v>
      </c>
      <c r="E248" s="442">
        <v>478371.99</v>
      </c>
      <c r="F248" s="444">
        <v>54994321.54</v>
      </c>
      <c r="G248" s="209">
        <f t="shared" si="6"/>
        <v>478371.9900000021</v>
      </c>
      <c r="J248">
        <f>VLOOKUP(A248,'BCE DIC 2019'!$A$1:$F$396,6,0)</f>
        <v>101368361.42</v>
      </c>
      <c r="K248">
        <f t="shared" si="7"/>
        <v>-46374039.88</v>
      </c>
    </row>
    <row r="249" spans="1:11" ht="12.75">
      <c r="A249" s="441">
        <v>41801601</v>
      </c>
      <c r="B249" s="441" t="s">
        <v>736</v>
      </c>
      <c r="C249" s="442">
        <v>54446668.55</v>
      </c>
      <c r="D249" s="442">
        <v>0</v>
      </c>
      <c r="E249" s="442">
        <v>478371.99</v>
      </c>
      <c r="F249" s="444">
        <v>54925040.54</v>
      </c>
      <c r="G249" s="209">
        <f t="shared" si="6"/>
        <v>478371.9900000021</v>
      </c>
      <c r="J249">
        <f>VLOOKUP(A249,'BCE DIC 2019'!$A$1:$F$396,6,0)</f>
        <v>101368361.42</v>
      </c>
      <c r="K249">
        <f t="shared" si="7"/>
        <v>-46443320.88</v>
      </c>
    </row>
    <row r="250" spans="1:11" ht="12.75">
      <c r="A250" s="441">
        <v>42251201</v>
      </c>
      <c r="B250" s="441" t="s">
        <v>737</v>
      </c>
      <c r="C250" s="442">
        <v>69281</v>
      </c>
      <c r="D250" s="442">
        <v>0</v>
      </c>
      <c r="E250" s="442">
        <v>0</v>
      </c>
      <c r="F250" s="444">
        <v>69281</v>
      </c>
      <c r="G250" s="209">
        <f t="shared" si="6"/>
        <v>0</v>
      </c>
      <c r="J250" t="e">
        <f>VLOOKUP(A250,'BCE DIC 2019'!$A$1:$F$396,6,0)</f>
        <v>#N/A</v>
      </c>
      <c r="K250" t="e">
        <f t="shared" si="7"/>
        <v>#N/A</v>
      </c>
    </row>
    <row r="251" spans="1:11" ht="12.75">
      <c r="A251" s="441">
        <v>422513</v>
      </c>
      <c r="B251" s="441" t="s">
        <v>738</v>
      </c>
      <c r="C251" s="442">
        <v>6771491</v>
      </c>
      <c r="D251" s="442">
        <v>0</v>
      </c>
      <c r="E251" s="442">
        <v>10617</v>
      </c>
      <c r="F251" s="444">
        <v>6782108</v>
      </c>
      <c r="G251" s="209">
        <f t="shared" si="6"/>
        <v>10617</v>
      </c>
      <c r="J251" t="e">
        <f>VLOOKUP(A251,'BCE DIC 2019'!$A$1:$F$396,6,0)</f>
        <v>#N/A</v>
      </c>
      <c r="K251" t="e">
        <f t="shared" si="7"/>
        <v>#N/A</v>
      </c>
    </row>
    <row r="252" spans="1:11" ht="12.75">
      <c r="A252" s="441">
        <v>42251301</v>
      </c>
      <c r="B252" s="441" t="s">
        <v>740</v>
      </c>
      <c r="C252" s="442">
        <v>30719</v>
      </c>
      <c r="D252" s="442">
        <v>0</v>
      </c>
      <c r="E252" s="442">
        <v>0</v>
      </c>
      <c r="F252" s="444">
        <v>30719</v>
      </c>
      <c r="G252" s="209">
        <f t="shared" si="6"/>
        <v>0</v>
      </c>
      <c r="J252" t="e">
        <f>VLOOKUP(A252,'BCE DIC 2019'!$A$1:$F$396,6,0)</f>
        <v>#N/A</v>
      </c>
      <c r="K252" t="e">
        <f t="shared" si="7"/>
        <v>#N/A</v>
      </c>
    </row>
    <row r="253" spans="1:11" ht="12.75">
      <c r="A253" s="441">
        <v>42251302</v>
      </c>
      <c r="B253" s="441" t="s">
        <v>741</v>
      </c>
      <c r="C253" s="442">
        <v>6740772</v>
      </c>
      <c r="D253" s="442">
        <v>0</v>
      </c>
      <c r="E253" s="442">
        <v>10617</v>
      </c>
      <c r="F253" s="444">
        <v>6751389</v>
      </c>
      <c r="G253" s="209">
        <f t="shared" si="6"/>
        <v>10617</v>
      </c>
      <c r="J253" t="e">
        <f>VLOOKUP(A253,'BCE DIC 2019'!$A$1:$F$396,6,0)</f>
        <v>#N/A</v>
      </c>
      <c r="K253" t="e">
        <f t="shared" si="7"/>
        <v>#N/A</v>
      </c>
    </row>
    <row r="254" spans="1:11" ht="12.75">
      <c r="A254" s="441">
        <v>422514</v>
      </c>
      <c r="B254" s="441" t="s">
        <v>807</v>
      </c>
      <c r="C254" s="442">
        <v>14453895</v>
      </c>
      <c r="D254" s="442">
        <v>0</v>
      </c>
      <c r="E254" s="442">
        <v>0</v>
      </c>
      <c r="F254" s="444">
        <v>14453895</v>
      </c>
      <c r="G254" s="209">
        <f t="shared" si="6"/>
        <v>0</v>
      </c>
      <c r="J254" t="e">
        <f>VLOOKUP(A254,'BCE DIC 2019'!$A$1:$F$396,6,0)</f>
        <v>#N/A</v>
      </c>
      <c r="K254" t="e">
        <f t="shared" si="7"/>
        <v>#N/A</v>
      </c>
    </row>
    <row r="255" spans="1:11" ht="12.75">
      <c r="A255" s="441">
        <v>42251401</v>
      </c>
      <c r="B255" s="441" t="s">
        <v>808</v>
      </c>
      <c r="C255" s="442">
        <v>13387082</v>
      </c>
      <c r="D255" s="442">
        <v>0</v>
      </c>
      <c r="E255" s="442">
        <v>0</v>
      </c>
      <c r="F255" s="444">
        <v>13387082</v>
      </c>
      <c r="G255" s="209">
        <f t="shared" si="6"/>
        <v>0</v>
      </c>
      <c r="J255" t="e">
        <f>VLOOKUP(A255,'BCE DIC 2019'!$A$1:$F$396,6,0)</f>
        <v>#N/A</v>
      </c>
      <c r="K255" t="e">
        <f t="shared" si="7"/>
        <v>#N/A</v>
      </c>
    </row>
    <row r="256" spans="1:11" ht="12.75">
      <c r="A256" s="441">
        <v>42251402</v>
      </c>
      <c r="B256" s="441" t="s">
        <v>809</v>
      </c>
      <c r="C256" s="442">
        <v>1066813</v>
      </c>
      <c r="D256" s="442">
        <v>0</v>
      </c>
      <c r="E256" s="442">
        <v>0</v>
      </c>
      <c r="F256" s="444">
        <v>1066813</v>
      </c>
      <c r="G256" s="209">
        <f t="shared" si="6"/>
        <v>0</v>
      </c>
      <c r="J256" t="e">
        <f>VLOOKUP(A256,'BCE DIC 2019'!$A$1:$F$396,6,0)</f>
        <v>#N/A</v>
      </c>
      <c r="K256" t="e">
        <f t="shared" si="7"/>
        <v>#N/A</v>
      </c>
    </row>
    <row r="257" spans="1:11" ht="12.75">
      <c r="A257" s="441">
        <v>422543</v>
      </c>
      <c r="B257" s="441" t="s">
        <v>810</v>
      </c>
      <c r="C257" s="442">
        <v>75192610</v>
      </c>
      <c r="D257" s="442">
        <v>0</v>
      </c>
      <c r="E257" s="442">
        <v>0</v>
      </c>
      <c r="F257" s="444">
        <v>75192610</v>
      </c>
      <c r="G257" s="209">
        <f t="shared" si="6"/>
        <v>0</v>
      </c>
      <c r="J257" t="e">
        <f>VLOOKUP(A257,'BCE DIC 2019'!$A$1:$F$396,6,0)</f>
        <v>#N/A</v>
      </c>
      <c r="K257" t="e">
        <f t="shared" si="7"/>
        <v>#N/A</v>
      </c>
    </row>
    <row r="258" spans="1:11" ht="12.75">
      <c r="A258" s="441">
        <v>42254301</v>
      </c>
      <c r="B258" s="441" t="s">
        <v>811</v>
      </c>
      <c r="C258" s="442">
        <v>75192610</v>
      </c>
      <c r="D258" s="442">
        <v>0</v>
      </c>
      <c r="E258" s="442">
        <v>0</v>
      </c>
      <c r="F258" s="444">
        <v>75192610</v>
      </c>
      <c r="G258" s="209">
        <f t="shared" si="6"/>
        <v>0</v>
      </c>
      <c r="J258" t="e">
        <f>VLOOKUP(A258,'BCE DIC 2019'!$A$1:$F$396,6,0)</f>
        <v>#N/A</v>
      </c>
      <c r="K258" t="e">
        <f t="shared" si="7"/>
        <v>#N/A</v>
      </c>
    </row>
    <row r="259" spans="1:11" ht="12.75">
      <c r="A259" s="441">
        <v>4230</v>
      </c>
      <c r="B259" s="441" t="s">
        <v>812</v>
      </c>
      <c r="C259" s="442">
        <v>141049.25</v>
      </c>
      <c r="D259" s="442">
        <v>0</v>
      </c>
      <c r="E259" s="442">
        <v>215767.45</v>
      </c>
      <c r="F259" s="444">
        <v>356816.7</v>
      </c>
      <c r="G259" s="209">
        <f aca="true" t="shared" si="8" ref="G259:G322">+F259-C259</f>
        <v>215767.45</v>
      </c>
      <c r="J259" t="e">
        <f>VLOOKUP(A259,'BCE DIC 2019'!$A$1:$F$396,6,0)</f>
        <v>#N/A</v>
      </c>
      <c r="K259" t="e">
        <f aca="true" t="shared" si="9" ref="K259:K322">+F259-J259</f>
        <v>#N/A</v>
      </c>
    </row>
    <row r="260" spans="1:11" ht="12.75">
      <c r="A260" s="441">
        <v>423095</v>
      </c>
      <c r="B260" s="441" t="s">
        <v>338</v>
      </c>
      <c r="C260" s="442">
        <v>141049.25</v>
      </c>
      <c r="D260" s="442">
        <v>0</v>
      </c>
      <c r="E260" s="442">
        <v>215767.45</v>
      </c>
      <c r="F260" s="444">
        <v>356816.7</v>
      </c>
      <c r="G260" s="209">
        <f t="shared" si="8"/>
        <v>215767.45</v>
      </c>
      <c r="J260" t="e">
        <f>VLOOKUP(A260,'BCE DIC 2019'!$A$1:$F$396,6,0)</f>
        <v>#N/A</v>
      </c>
      <c r="K260" t="e">
        <f t="shared" si="9"/>
        <v>#N/A</v>
      </c>
    </row>
    <row r="261" spans="1:11" ht="12.75">
      <c r="A261" s="441">
        <v>41909001</v>
      </c>
      <c r="B261" s="441" t="s">
        <v>76</v>
      </c>
      <c r="C261" s="442">
        <v>54685.25</v>
      </c>
      <c r="D261" s="442">
        <v>0</v>
      </c>
      <c r="E261" s="442">
        <v>215767.45</v>
      </c>
      <c r="F261" s="444">
        <v>270452.7</v>
      </c>
      <c r="G261" s="209">
        <f t="shared" si="8"/>
        <v>215767.45</v>
      </c>
      <c r="J261" t="e">
        <f>VLOOKUP(A261,'BCE DIC 2019'!$A$1:$F$396,6,0)</f>
        <v>#N/A</v>
      </c>
      <c r="K261" t="e">
        <f t="shared" si="9"/>
        <v>#N/A</v>
      </c>
    </row>
    <row r="262" spans="1:11" ht="12.75">
      <c r="A262" s="441">
        <v>42505001</v>
      </c>
      <c r="B262" s="441" t="s">
        <v>450</v>
      </c>
      <c r="C262" s="442">
        <v>86364</v>
      </c>
      <c r="D262" s="442">
        <v>0</v>
      </c>
      <c r="E262" s="442">
        <v>0</v>
      </c>
      <c r="F262" s="444">
        <v>86364</v>
      </c>
      <c r="G262" s="209">
        <f t="shared" si="8"/>
        <v>0</v>
      </c>
      <c r="J262">
        <f>VLOOKUP(A262,'BCE DIC 2019'!$A$1:$F$396,6,0)</f>
        <v>23828.58</v>
      </c>
      <c r="K262">
        <f t="shared" si="9"/>
        <v>62535.42</v>
      </c>
    </row>
    <row r="263" spans="1:11" ht="12.75">
      <c r="A263" s="441">
        <v>5000</v>
      </c>
      <c r="B263" s="441" t="s">
        <v>454</v>
      </c>
      <c r="C263" s="442">
        <v>781199534.11</v>
      </c>
      <c r="D263" s="442">
        <v>95260630.82</v>
      </c>
      <c r="E263" s="442">
        <v>21560281.97</v>
      </c>
      <c r="F263" s="444">
        <v>854899882.96</v>
      </c>
      <c r="G263" s="209">
        <f t="shared" si="8"/>
        <v>73700348.85000002</v>
      </c>
      <c r="J263">
        <f>VLOOKUP(A263,'BCE DIC 2019'!$A$1:$F$396,6,0)</f>
        <v>800264598.35</v>
      </c>
      <c r="K263">
        <f t="shared" si="9"/>
        <v>54635284.610000014</v>
      </c>
    </row>
    <row r="264" spans="1:11" ht="12.75">
      <c r="A264" s="441">
        <v>5100</v>
      </c>
      <c r="B264" s="441" t="s">
        <v>455</v>
      </c>
      <c r="C264" s="442">
        <v>758036787.45</v>
      </c>
      <c r="D264" s="442">
        <v>92470875.92</v>
      </c>
      <c r="E264" s="442">
        <v>21560281.97</v>
      </c>
      <c r="F264" s="444">
        <v>828947381.4</v>
      </c>
      <c r="G264" s="209">
        <f t="shared" si="8"/>
        <v>70910593.94999993</v>
      </c>
      <c r="J264">
        <f>VLOOKUP(A264,'BCE DIC 2019'!$A$1:$F$396,6,0)</f>
        <v>780444089.51</v>
      </c>
      <c r="K264">
        <f t="shared" si="9"/>
        <v>48503291.889999986</v>
      </c>
    </row>
    <row r="265" spans="1:11" ht="12.75">
      <c r="A265" s="441">
        <v>5105</v>
      </c>
      <c r="B265" s="441" t="s">
        <v>456</v>
      </c>
      <c r="C265" s="442">
        <v>185560316</v>
      </c>
      <c r="D265" s="442">
        <v>17727410</v>
      </c>
      <c r="E265" s="442">
        <v>69396</v>
      </c>
      <c r="F265" s="444">
        <v>203218330</v>
      </c>
      <c r="G265" s="209">
        <f t="shared" si="8"/>
        <v>17658014</v>
      </c>
      <c r="J265">
        <f>VLOOKUP(A265,'BCE DIC 2019'!$A$1:$F$396,6,0)</f>
        <v>213375458</v>
      </c>
      <c r="K265">
        <f t="shared" si="9"/>
        <v>-10157128</v>
      </c>
    </row>
    <row r="266" spans="1:11" ht="12.75">
      <c r="A266" s="441">
        <v>510503</v>
      </c>
      <c r="B266" s="441" t="s">
        <v>457</v>
      </c>
      <c r="C266" s="442">
        <v>122354543</v>
      </c>
      <c r="D266" s="442">
        <v>12128752</v>
      </c>
      <c r="E266" s="442">
        <v>0</v>
      </c>
      <c r="F266" s="444">
        <v>134483295</v>
      </c>
      <c r="G266" s="209">
        <f t="shared" si="8"/>
        <v>12128752</v>
      </c>
      <c r="J266">
        <f>VLOOKUP(A266,'BCE DIC 2019'!$A$1:$F$396,6,0)</f>
        <v>141610823</v>
      </c>
      <c r="K266">
        <f t="shared" si="9"/>
        <v>-7127528</v>
      </c>
    </row>
    <row r="267" spans="1:11" ht="12.75">
      <c r="A267" s="441">
        <v>51050601</v>
      </c>
      <c r="B267" s="441" t="s">
        <v>458</v>
      </c>
      <c r="C267" s="442">
        <v>122354543</v>
      </c>
      <c r="D267" s="442">
        <v>12128752</v>
      </c>
      <c r="E267" s="442">
        <v>0</v>
      </c>
      <c r="F267" s="444">
        <v>134483295</v>
      </c>
      <c r="G267" s="209">
        <f t="shared" si="8"/>
        <v>12128752</v>
      </c>
      <c r="J267">
        <f>VLOOKUP(A267,'BCE DIC 2019'!$A$1:$F$396,6,0)</f>
        <v>141610823</v>
      </c>
      <c r="K267">
        <f t="shared" si="9"/>
        <v>-7127528</v>
      </c>
    </row>
    <row r="268" spans="1:11" ht="12.75">
      <c r="A268" s="441">
        <v>510508</v>
      </c>
      <c r="B268" s="441" t="s">
        <v>813</v>
      </c>
      <c r="C268" s="442">
        <v>2615768</v>
      </c>
      <c r="D268" s="442">
        <v>202212</v>
      </c>
      <c r="E268" s="442">
        <v>0</v>
      </c>
      <c r="F268" s="444">
        <v>2817980</v>
      </c>
      <c r="G268" s="209">
        <f t="shared" si="8"/>
        <v>202212</v>
      </c>
      <c r="J268" t="e">
        <f>VLOOKUP(A268,'BCE DIC 2019'!$A$1:$F$396,6,0)</f>
        <v>#N/A</v>
      </c>
      <c r="K268" t="e">
        <f t="shared" si="9"/>
        <v>#N/A</v>
      </c>
    </row>
    <row r="269" spans="1:11" ht="12.75">
      <c r="A269" s="441">
        <v>51052401</v>
      </c>
      <c r="B269" s="441" t="s">
        <v>814</v>
      </c>
      <c r="C269" s="442">
        <v>2615768</v>
      </c>
      <c r="D269" s="442">
        <v>202212</v>
      </c>
      <c r="E269" s="442">
        <v>0</v>
      </c>
      <c r="F269" s="444">
        <v>2817980</v>
      </c>
      <c r="G269" s="209">
        <f t="shared" si="8"/>
        <v>202212</v>
      </c>
      <c r="J269" t="e">
        <f>VLOOKUP(A269,'BCE DIC 2019'!$A$1:$F$396,6,0)</f>
        <v>#N/A</v>
      </c>
      <c r="K269" t="e">
        <f t="shared" si="9"/>
        <v>#N/A</v>
      </c>
    </row>
    <row r="270" spans="1:11" ht="12.75">
      <c r="A270" s="441">
        <v>510509</v>
      </c>
      <c r="B270" s="441" t="s">
        <v>459</v>
      </c>
      <c r="C270" s="442">
        <v>3687011</v>
      </c>
      <c r="D270" s="442">
        <v>331987</v>
      </c>
      <c r="E270" s="442">
        <v>0</v>
      </c>
      <c r="F270" s="444">
        <v>4018998</v>
      </c>
      <c r="G270" s="209">
        <f t="shared" si="8"/>
        <v>331987</v>
      </c>
      <c r="J270">
        <f>VLOOKUP(A270,'BCE DIC 2019'!$A$1:$F$396,6,0)</f>
        <v>4337332</v>
      </c>
      <c r="K270">
        <f t="shared" si="9"/>
        <v>-318334</v>
      </c>
    </row>
    <row r="271" spans="1:11" ht="12.75">
      <c r="A271" s="441">
        <v>51052701</v>
      </c>
      <c r="B271" s="441" t="s">
        <v>460</v>
      </c>
      <c r="C271" s="442">
        <v>3687011</v>
      </c>
      <c r="D271" s="442">
        <v>331987</v>
      </c>
      <c r="E271" s="442">
        <v>0</v>
      </c>
      <c r="F271" s="444">
        <v>4018998</v>
      </c>
      <c r="G271" s="209">
        <f t="shared" si="8"/>
        <v>331987</v>
      </c>
      <c r="J271">
        <f>VLOOKUP(A271,'BCE DIC 2019'!$A$1:$F$396,6,0)</f>
        <v>4337332</v>
      </c>
      <c r="K271">
        <f t="shared" si="9"/>
        <v>-318334</v>
      </c>
    </row>
    <row r="272" spans="1:11" ht="12.75">
      <c r="A272" s="441">
        <v>510510</v>
      </c>
      <c r="B272" s="441" t="s">
        <v>461</v>
      </c>
      <c r="C272" s="442">
        <v>11103032</v>
      </c>
      <c r="D272" s="442">
        <v>1180949</v>
      </c>
      <c r="E272" s="442">
        <v>8966</v>
      </c>
      <c r="F272" s="444">
        <v>12275015</v>
      </c>
      <c r="G272" s="209">
        <f t="shared" si="8"/>
        <v>1171983</v>
      </c>
      <c r="J272">
        <f>VLOOKUP(A272,'BCE DIC 2019'!$A$1:$F$396,6,0)</f>
        <v>12709022</v>
      </c>
      <c r="K272">
        <f t="shared" si="9"/>
        <v>-434007</v>
      </c>
    </row>
    <row r="273" spans="1:11" ht="12.75">
      <c r="A273" s="441">
        <v>51053001</v>
      </c>
      <c r="B273" s="441" t="s">
        <v>462</v>
      </c>
      <c r="C273" s="442">
        <v>11103032</v>
      </c>
      <c r="D273" s="442">
        <v>1180949</v>
      </c>
      <c r="E273" s="442">
        <v>8966</v>
      </c>
      <c r="F273" s="444">
        <v>12275015</v>
      </c>
      <c r="G273" s="209">
        <f t="shared" si="8"/>
        <v>1171983</v>
      </c>
      <c r="J273">
        <f>VLOOKUP(A273,'BCE DIC 2019'!$A$1:$F$396,6,0)</f>
        <v>12709022</v>
      </c>
      <c r="K273">
        <f t="shared" si="9"/>
        <v>-434007</v>
      </c>
    </row>
    <row r="274" spans="1:11" ht="12.75">
      <c r="A274" s="441">
        <v>510511</v>
      </c>
      <c r="B274" s="441" t="s">
        <v>463</v>
      </c>
      <c r="C274" s="442">
        <v>1198808</v>
      </c>
      <c r="D274" s="442">
        <v>157576</v>
      </c>
      <c r="E274" s="442">
        <v>49553</v>
      </c>
      <c r="F274" s="444">
        <v>1306831</v>
      </c>
      <c r="G274" s="209">
        <f t="shared" si="8"/>
        <v>108023</v>
      </c>
      <c r="J274">
        <f>VLOOKUP(A274,'BCE DIC 2019'!$A$1:$F$396,6,0)</f>
        <v>1525083</v>
      </c>
      <c r="K274">
        <f t="shared" si="9"/>
        <v>-218252</v>
      </c>
    </row>
    <row r="275" spans="1:11" ht="12.75">
      <c r="A275" s="441">
        <v>51053301</v>
      </c>
      <c r="B275" s="441" t="s">
        <v>464</v>
      </c>
      <c r="C275" s="442">
        <v>1198808</v>
      </c>
      <c r="D275" s="442">
        <v>157576</v>
      </c>
      <c r="E275" s="442">
        <v>49553</v>
      </c>
      <c r="F275" s="444">
        <v>1306831</v>
      </c>
      <c r="G275" s="209">
        <f t="shared" si="8"/>
        <v>108023</v>
      </c>
      <c r="J275">
        <f>VLOOKUP(A275,'BCE DIC 2019'!$A$1:$F$396,6,0)</f>
        <v>1525083</v>
      </c>
      <c r="K275">
        <f t="shared" si="9"/>
        <v>-218252</v>
      </c>
    </row>
    <row r="276" spans="1:11" ht="12.75">
      <c r="A276" s="441">
        <v>510512</v>
      </c>
      <c r="B276" s="441" t="s">
        <v>465</v>
      </c>
      <c r="C276" s="442">
        <v>11106002</v>
      </c>
      <c r="D276" s="442">
        <v>1163001</v>
      </c>
      <c r="E276" s="442">
        <v>4645</v>
      </c>
      <c r="F276" s="444">
        <v>12264358</v>
      </c>
      <c r="G276" s="209">
        <f t="shared" si="8"/>
        <v>1158356</v>
      </c>
      <c r="J276">
        <v>0</v>
      </c>
      <c r="K276">
        <f t="shared" si="9"/>
        <v>12264358</v>
      </c>
    </row>
    <row r="277" spans="1:11" ht="12.75">
      <c r="A277" s="441">
        <v>51053601</v>
      </c>
      <c r="B277" s="441" t="s">
        <v>466</v>
      </c>
      <c r="C277" s="442">
        <v>11106002</v>
      </c>
      <c r="D277" s="442">
        <v>1163001</v>
      </c>
      <c r="E277" s="442">
        <v>4645</v>
      </c>
      <c r="F277" s="444">
        <v>12264358</v>
      </c>
      <c r="G277" s="209">
        <f t="shared" si="8"/>
        <v>1158356</v>
      </c>
      <c r="J277">
        <v>0</v>
      </c>
      <c r="K277">
        <f t="shared" si="9"/>
        <v>12264358</v>
      </c>
    </row>
    <row r="278" spans="1:11" ht="12.75">
      <c r="A278" s="441">
        <v>510516</v>
      </c>
      <c r="B278" s="441" t="s">
        <v>467</v>
      </c>
      <c r="C278" s="442">
        <v>9234639</v>
      </c>
      <c r="D278" s="442">
        <v>514201</v>
      </c>
      <c r="E278" s="442">
        <v>0</v>
      </c>
      <c r="F278" s="444">
        <v>9748840</v>
      </c>
      <c r="G278" s="209">
        <f t="shared" si="8"/>
        <v>514201</v>
      </c>
      <c r="J278">
        <v>0</v>
      </c>
      <c r="K278">
        <f t="shared" si="9"/>
        <v>9748840</v>
      </c>
    </row>
    <row r="279" spans="1:11" ht="12.75">
      <c r="A279" s="441">
        <v>51053901</v>
      </c>
      <c r="B279" s="441" t="s">
        <v>409</v>
      </c>
      <c r="C279" s="442">
        <v>9234639</v>
      </c>
      <c r="D279" s="442">
        <v>514201</v>
      </c>
      <c r="E279" s="442">
        <v>0</v>
      </c>
      <c r="F279" s="444">
        <v>9748840</v>
      </c>
      <c r="G279" s="209">
        <f t="shared" si="8"/>
        <v>514201</v>
      </c>
      <c r="J279">
        <v>0</v>
      </c>
      <c r="K279">
        <f t="shared" si="9"/>
        <v>9748840</v>
      </c>
    </row>
    <row r="280" spans="1:11" ht="12.75">
      <c r="A280" s="441">
        <v>510521</v>
      </c>
      <c r="B280" s="441" t="s">
        <v>468</v>
      </c>
      <c r="C280" s="442">
        <v>2829805</v>
      </c>
      <c r="D280" s="442">
        <v>0</v>
      </c>
      <c r="E280" s="442">
        <v>0</v>
      </c>
      <c r="F280" s="444">
        <v>2829805</v>
      </c>
      <c r="G280" s="209">
        <f t="shared" si="8"/>
        <v>0</v>
      </c>
      <c r="J280">
        <f>VLOOKUP(A280,'BCE DIC 2019'!$A$1:$F$396,6,0)</f>
        <v>3399400</v>
      </c>
      <c r="K280">
        <f t="shared" si="9"/>
        <v>-569595</v>
      </c>
    </row>
    <row r="281" spans="1:11" ht="12.75">
      <c r="A281" s="441">
        <v>51055101</v>
      </c>
      <c r="B281" s="441" t="s">
        <v>469</v>
      </c>
      <c r="C281" s="442">
        <v>2829805</v>
      </c>
      <c r="D281" s="442">
        <v>0</v>
      </c>
      <c r="E281" s="442">
        <v>0</v>
      </c>
      <c r="F281" s="444">
        <v>2829805</v>
      </c>
      <c r="G281" s="209">
        <f t="shared" si="8"/>
        <v>0</v>
      </c>
      <c r="J281">
        <f>VLOOKUP(A281,'BCE DIC 2019'!$A$1:$F$396,6,0)</f>
        <v>3399400</v>
      </c>
      <c r="K281">
        <f t="shared" si="9"/>
        <v>-569595</v>
      </c>
    </row>
    <row r="282" spans="1:11" ht="12.75">
      <c r="A282" s="441">
        <v>510523</v>
      </c>
      <c r="B282" s="441" t="s">
        <v>470</v>
      </c>
      <c r="C282" s="442">
        <v>-1184</v>
      </c>
      <c r="D282" s="442">
        <v>7416</v>
      </c>
      <c r="E282" s="442">
        <v>6232</v>
      </c>
      <c r="F282" s="444">
        <v>0</v>
      </c>
      <c r="G282" s="209">
        <f t="shared" si="8"/>
        <v>1184</v>
      </c>
      <c r="J282">
        <f>VLOOKUP(A282,'BCE DIC 2019'!$A$1:$F$396,6,0)</f>
        <v>2985</v>
      </c>
      <c r="K282">
        <f t="shared" si="9"/>
        <v>-2985</v>
      </c>
    </row>
    <row r="283" spans="1:11" ht="12.75">
      <c r="A283" s="441">
        <v>51056901</v>
      </c>
      <c r="B283" s="441" t="s">
        <v>471</v>
      </c>
      <c r="C283" s="442">
        <v>-1184</v>
      </c>
      <c r="D283" s="442">
        <v>7416</v>
      </c>
      <c r="E283" s="442">
        <v>6232</v>
      </c>
      <c r="F283" s="444">
        <v>0</v>
      </c>
      <c r="G283" s="209">
        <f t="shared" si="8"/>
        <v>1184</v>
      </c>
      <c r="J283">
        <f>VLOOKUP(A283,'BCE DIC 2019'!$A$1:$F$396,6,0)</f>
        <v>2985</v>
      </c>
      <c r="K283">
        <f t="shared" si="9"/>
        <v>-2985</v>
      </c>
    </row>
    <row r="284" spans="1:11" ht="12.75">
      <c r="A284" s="441">
        <v>510524</v>
      </c>
      <c r="B284" s="441" t="s">
        <v>472</v>
      </c>
      <c r="C284" s="442">
        <v>15541357</v>
      </c>
      <c r="D284" s="442">
        <v>1482416</v>
      </c>
      <c r="E284" s="442">
        <v>0</v>
      </c>
      <c r="F284" s="444">
        <v>17023773</v>
      </c>
      <c r="G284" s="209">
        <f t="shared" si="8"/>
        <v>1482416</v>
      </c>
      <c r="J284">
        <f>VLOOKUP(A284,'BCE DIC 2019'!$A$1:$F$396,6,0)</f>
        <v>15834286</v>
      </c>
      <c r="K284">
        <f t="shared" si="9"/>
        <v>1189487</v>
      </c>
    </row>
    <row r="285" spans="1:11" ht="12.75">
      <c r="A285" s="441">
        <v>51057001</v>
      </c>
      <c r="B285" s="441" t="s">
        <v>473</v>
      </c>
      <c r="C285" s="442">
        <v>15541357</v>
      </c>
      <c r="D285" s="442">
        <v>1482416</v>
      </c>
      <c r="E285" s="442">
        <v>0</v>
      </c>
      <c r="F285" s="444">
        <v>17023773</v>
      </c>
      <c r="G285" s="209">
        <f t="shared" si="8"/>
        <v>1482416</v>
      </c>
      <c r="J285">
        <f>VLOOKUP(A285,'BCE DIC 2019'!$A$1:$F$396,6,0)</f>
        <v>15834286</v>
      </c>
      <c r="K285">
        <f t="shared" si="9"/>
        <v>1189487</v>
      </c>
    </row>
    <row r="286" spans="1:11" ht="12.75">
      <c r="A286" s="441">
        <v>510525</v>
      </c>
      <c r="B286" s="441" t="s">
        <v>474</v>
      </c>
      <c r="C286" s="442">
        <v>641135</v>
      </c>
      <c r="D286" s="442">
        <v>64000</v>
      </c>
      <c r="E286" s="442">
        <v>0</v>
      </c>
      <c r="F286" s="444">
        <v>705135</v>
      </c>
      <c r="G286" s="209">
        <f t="shared" si="8"/>
        <v>64000</v>
      </c>
      <c r="J286">
        <f>VLOOKUP(A286,'BCE DIC 2019'!$A$1:$F$396,6,0)</f>
        <v>739300</v>
      </c>
      <c r="K286">
        <f t="shared" si="9"/>
        <v>-34165</v>
      </c>
    </row>
    <row r="287" spans="1:11" ht="12.75">
      <c r="A287" s="441">
        <v>51057101</v>
      </c>
      <c r="B287" s="441" t="s">
        <v>617</v>
      </c>
      <c r="C287" s="442">
        <v>641135</v>
      </c>
      <c r="D287" s="442">
        <v>64000</v>
      </c>
      <c r="E287" s="442">
        <v>0</v>
      </c>
      <c r="F287" s="444">
        <v>705135</v>
      </c>
      <c r="G287" s="209">
        <f t="shared" si="8"/>
        <v>64000</v>
      </c>
      <c r="J287">
        <f>VLOOKUP(A287,'BCE DIC 2019'!$A$1:$F$396,6,0)</f>
        <v>739300</v>
      </c>
      <c r="K287">
        <f t="shared" si="9"/>
        <v>-34165</v>
      </c>
    </row>
    <row r="288" spans="1:11" ht="12.75">
      <c r="A288" s="441">
        <v>510526</v>
      </c>
      <c r="B288" s="441" t="s">
        <v>475</v>
      </c>
      <c r="C288" s="442">
        <v>5181000</v>
      </c>
      <c r="D288" s="442">
        <v>494900</v>
      </c>
      <c r="E288" s="442">
        <v>0</v>
      </c>
      <c r="F288" s="444">
        <v>5675900</v>
      </c>
      <c r="G288" s="209">
        <f t="shared" si="8"/>
        <v>494900</v>
      </c>
      <c r="J288">
        <f>VLOOKUP(A288,'BCE DIC 2019'!$A$1:$F$396,6,0)</f>
        <v>5873100</v>
      </c>
      <c r="K288">
        <f t="shared" si="9"/>
        <v>-197200</v>
      </c>
    </row>
    <row r="289" spans="1:11" ht="12.75">
      <c r="A289" s="441">
        <v>51057201</v>
      </c>
      <c r="B289" s="441" t="s">
        <v>476</v>
      </c>
      <c r="C289" s="442">
        <v>5181000</v>
      </c>
      <c r="D289" s="442">
        <v>494900</v>
      </c>
      <c r="E289" s="442">
        <v>0</v>
      </c>
      <c r="F289" s="444">
        <v>5675900</v>
      </c>
      <c r="G289" s="209">
        <f t="shared" si="8"/>
        <v>494900</v>
      </c>
      <c r="J289">
        <f>VLOOKUP(A289,'BCE DIC 2019'!$A$1:$F$396,6,0)</f>
        <v>5873100</v>
      </c>
      <c r="K289">
        <f t="shared" si="9"/>
        <v>-197200</v>
      </c>
    </row>
    <row r="290" spans="1:11" ht="12.75">
      <c r="A290" s="441">
        <v>510533</v>
      </c>
      <c r="B290" s="441" t="s">
        <v>742</v>
      </c>
      <c r="C290" s="442">
        <v>68400</v>
      </c>
      <c r="D290" s="442">
        <v>0</v>
      </c>
      <c r="E290" s="442">
        <v>0</v>
      </c>
      <c r="F290" s="444">
        <v>68400</v>
      </c>
      <c r="G290" s="209">
        <f t="shared" si="8"/>
        <v>0</v>
      </c>
      <c r="J290">
        <v>0</v>
      </c>
      <c r="K290">
        <f t="shared" si="9"/>
        <v>68400</v>
      </c>
    </row>
    <row r="291" spans="1:11" ht="12.75">
      <c r="A291" s="441">
        <v>51053305</v>
      </c>
      <c r="B291" s="441" t="s">
        <v>743</v>
      </c>
      <c r="C291" s="442">
        <v>68400</v>
      </c>
      <c r="D291" s="442">
        <v>0</v>
      </c>
      <c r="E291" s="442">
        <v>0</v>
      </c>
      <c r="F291" s="444">
        <v>68400</v>
      </c>
      <c r="G291" s="209">
        <f t="shared" si="8"/>
        <v>0</v>
      </c>
      <c r="J291" t="e">
        <f>VLOOKUP(A291,'BCE DIC 2019'!$A$1:$F$396,6,0)</f>
        <v>#N/A</v>
      </c>
      <c r="K291" t="e">
        <f t="shared" si="9"/>
        <v>#N/A</v>
      </c>
    </row>
    <row r="292" spans="1:11" ht="12.75">
      <c r="A292" s="441">
        <v>5110</v>
      </c>
      <c r="B292" s="441" t="s">
        <v>479</v>
      </c>
      <c r="C292" s="442">
        <v>449692335.59</v>
      </c>
      <c r="D292" s="442">
        <v>67846161.72</v>
      </c>
      <c r="E292" s="442">
        <v>337159.74</v>
      </c>
      <c r="F292" s="444">
        <v>517201337.57</v>
      </c>
      <c r="G292" s="209">
        <f t="shared" si="8"/>
        <v>67509001.98000002</v>
      </c>
      <c r="J292">
        <f>VLOOKUP(A292,'BCE DIC 2019'!$A$1:$F$396,6,0)</f>
        <v>442906116.47</v>
      </c>
      <c r="K292">
        <f t="shared" si="9"/>
        <v>74295221.09999996</v>
      </c>
    </row>
    <row r="293" spans="1:11" ht="12.75">
      <c r="A293" s="441">
        <v>511001</v>
      </c>
      <c r="B293" s="441" t="s">
        <v>369</v>
      </c>
      <c r="C293" s="442">
        <v>61883472</v>
      </c>
      <c r="D293" s="442">
        <v>5783600</v>
      </c>
      <c r="E293" s="442">
        <v>0</v>
      </c>
      <c r="F293" s="444">
        <v>67667072</v>
      </c>
      <c r="G293" s="209">
        <f t="shared" si="8"/>
        <v>5783600</v>
      </c>
      <c r="J293">
        <f>VLOOKUP(A293,'BCE DIC 2019'!$A$1:$F$396,6,0)</f>
        <v>35454048.1</v>
      </c>
      <c r="K293">
        <f t="shared" si="9"/>
        <v>32213023.9</v>
      </c>
    </row>
    <row r="294" spans="1:11" ht="12.75">
      <c r="A294" s="441">
        <v>51100101</v>
      </c>
      <c r="B294" s="441" t="s">
        <v>480</v>
      </c>
      <c r="C294" s="442">
        <v>16669250</v>
      </c>
      <c r="D294" s="442">
        <v>1600000</v>
      </c>
      <c r="E294" s="442">
        <v>0</v>
      </c>
      <c r="F294" s="444">
        <v>18269250</v>
      </c>
      <c r="G294" s="209">
        <f t="shared" si="8"/>
        <v>1600000</v>
      </c>
      <c r="J294">
        <f>VLOOKUP(A294,'BCE DIC 2019'!$A$1:$F$396,6,0)</f>
        <v>15397500</v>
      </c>
      <c r="K294">
        <f t="shared" si="9"/>
        <v>2871750</v>
      </c>
    </row>
    <row r="295" spans="1:11" ht="12.75">
      <c r="A295" s="441">
        <v>51100102</v>
      </c>
      <c r="B295" s="441" t="s">
        <v>744</v>
      </c>
      <c r="C295" s="442">
        <v>31436485</v>
      </c>
      <c r="D295" s="442">
        <v>2934900</v>
      </c>
      <c r="E295" s="442">
        <v>0</v>
      </c>
      <c r="F295" s="444">
        <v>34371385</v>
      </c>
      <c r="G295" s="209">
        <f t="shared" si="8"/>
        <v>2934900</v>
      </c>
      <c r="J295">
        <f>VLOOKUP(A295,'BCE DIC 2019'!$A$1:$F$396,6,0)</f>
        <v>10590</v>
      </c>
      <c r="K295">
        <f t="shared" si="9"/>
        <v>34360795</v>
      </c>
    </row>
    <row r="296" spans="1:11" ht="12.75">
      <c r="A296" s="441">
        <v>51100103</v>
      </c>
      <c r="B296" s="441" t="s">
        <v>815</v>
      </c>
      <c r="C296" s="442">
        <v>9560737</v>
      </c>
      <c r="D296" s="442">
        <v>868700</v>
      </c>
      <c r="E296" s="442">
        <v>0</v>
      </c>
      <c r="F296" s="444">
        <v>10429437</v>
      </c>
      <c r="G296" s="209">
        <f t="shared" si="8"/>
        <v>868700</v>
      </c>
      <c r="J296">
        <f>VLOOKUP(A296,'BCE DIC 2019'!$A$1:$F$396,6,0)</f>
        <v>9534880</v>
      </c>
      <c r="K296">
        <f t="shared" si="9"/>
        <v>894557</v>
      </c>
    </row>
    <row r="297" spans="1:11" ht="12.75">
      <c r="A297" s="441">
        <v>51100104</v>
      </c>
      <c r="B297" s="441" t="s">
        <v>482</v>
      </c>
      <c r="C297" s="442">
        <v>21000</v>
      </c>
      <c r="D297" s="442">
        <v>0</v>
      </c>
      <c r="E297" s="442">
        <v>0</v>
      </c>
      <c r="F297" s="444">
        <v>21000</v>
      </c>
      <c r="G297" s="209">
        <f t="shared" si="8"/>
        <v>0</v>
      </c>
      <c r="J297">
        <f>VLOOKUP(A297,'BCE DIC 2019'!$A$1:$F$396,6,0)</f>
        <v>30000</v>
      </c>
      <c r="K297">
        <f t="shared" si="9"/>
        <v>-9000</v>
      </c>
    </row>
    <row r="298" spans="1:11" ht="12.75">
      <c r="A298" s="441">
        <v>51100106</v>
      </c>
      <c r="B298" s="441" t="s">
        <v>484</v>
      </c>
      <c r="C298" s="442">
        <v>4196000</v>
      </c>
      <c r="D298" s="442">
        <v>380000</v>
      </c>
      <c r="E298" s="442">
        <v>0</v>
      </c>
      <c r="F298" s="444">
        <v>4576000</v>
      </c>
      <c r="G298" s="209">
        <f t="shared" si="8"/>
        <v>380000</v>
      </c>
      <c r="J298">
        <f>VLOOKUP(A298,'BCE DIC 2019'!$A$1:$F$396,6,0)</f>
        <v>4260000</v>
      </c>
      <c r="K298">
        <f t="shared" si="9"/>
        <v>316000</v>
      </c>
    </row>
    <row r="299" spans="1:11" ht="12.75">
      <c r="A299" s="441">
        <v>511002</v>
      </c>
      <c r="B299" s="441" t="s">
        <v>485</v>
      </c>
      <c r="C299" s="442">
        <v>20414358</v>
      </c>
      <c r="D299" s="442">
        <v>3857443</v>
      </c>
      <c r="E299" s="442">
        <v>0</v>
      </c>
      <c r="F299" s="444">
        <v>24271801</v>
      </c>
      <c r="G299" s="209">
        <f t="shared" si="8"/>
        <v>3857443</v>
      </c>
      <c r="J299">
        <f>VLOOKUP(A299,'BCE DIC 2019'!$A$1:$F$396,6,0)</f>
        <v>18435000</v>
      </c>
      <c r="K299">
        <f t="shared" si="9"/>
        <v>5836801</v>
      </c>
    </row>
    <row r="300" spans="1:11" ht="12.75">
      <c r="A300" s="441">
        <v>51100201</v>
      </c>
      <c r="B300" s="441" t="s">
        <v>486</v>
      </c>
      <c r="C300" s="442">
        <v>7321000</v>
      </c>
      <c r="D300" s="442">
        <v>0</v>
      </c>
      <c r="E300" s="442">
        <v>0</v>
      </c>
      <c r="F300" s="444">
        <v>7321000</v>
      </c>
      <c r="G300" s="209">
        <f t="shared" si="8"/>
        <v>0</v>
      </c>
      <c r="J300">
        <f>VLOOKUP(A300,'BCE DIC 2019'!$A$1:$F$396,6,0)</f>
        <v>6490000</v>
      </c>
      <c r="K300">
        <f t="shared" si="9"/>
        <v>831000</v>
      </c>
    </row>
    <row r="301" spans="1:11" ht="12.75">
      <c r="A301" s="441">
        <v>51100202</v>
      </c>
      <c r="B301" s="441" t="s">
        <v>487</v>
      </c>
      <c r="C301" s="442">
        <v>11384746</v>
      </c>
      <c r="D301" s="442">
        <v>3355081</v>
      </c>
      <c r="E301" s="442">
        <v>0</v>
      </c>
      <c r="F301" s="444">
        <v>14739827</v>
      </c>
      <c r="G301" s="209">
        <f t="shared" si="8"/>
        <v>3355081</v>
      </c>
      <c r="J301">
        <f>VLOOKUP(A301,'BCE DIC 2019'!$A$1:$F$396,6,0)</f>
        <v>11945000</v>
      </c>
      <c r="K301">
        <f t="shared" si="9"/>
        <v>2794827</v>
      </c>
    </row>
    <row r="302" spans="1:11" ht="12.75">
      <c r="A302" s="441">
        <v>51100205</v>
      </c>
      <c r="B302" s="441" t="s">
        <v>725</v>
      </c>
      <c r="C302" s="442">
        <v>1708612</v>
      </c>
      <c r="D302" s="442">
        <v>502362</v>
      </c>
      <c r="E302" s="442">
        <v>0</v>
      </c>
      <c r="F302" s="444">
        <v>2210974</v>
      </c>
      <c r="G302" s="209">
        <f t="shared" si="8"/>
        <v>502362</v>
      </c>
      <c r="J302" t="e">
        <f>VLOOKUP(A302,'BCE DIC 2019'!$A$1:$F$396,6,0)</f>
        <v>#N/A</v>
      </c>
      <c r="K302" t="e">
        <f t="shared" si="9"/>
        <v>#N/A</v>
      </c>
    </row>
    <row r="303" spans="1:11" ht="12.75">
      <c r="A303" s="441">
        <v>511005</v>
      </c>
      <c r="B303" s="441" t="s">
        <v>488</v>
      </c>
      <c r="C303" s="442">
        <v>0</v>
      </c>
      <c r="D303" s="442">
        <v>1566736</v>
      </c>
      <c r="E303" s="442">
        <v>0</v>
      </c>
      <c r="F303" s="444">
        <v>1566736</v>
      </c>
      <c r="G303" s="209">
        <f t="shared" si="8"/>
        <v>1566736</v>
      </c>
      <c r="J303">
        <f>VLOOKUP(A303,'BCE DIC 2019'!$A$1:$F$396,6,0)</f>
        <v>3845440</v>
      </c>
      <c r="K303">
        <f t="shared" si="9"/>
        <v>-2278704</v>
      </c>
    </row>
    <row r="304" spans="1:11" ht="12.75">
      <c r="A304" s="441">
        <v>51100803</v>
      </c>
      <c r="B304" s="441" t="s">
        <v>490</v>
      </c>
      <c r="C304" s="442">
        <v>0</v>
      </c>
      <c r="D304" s="442">
        <v>1566736</v>
      </c>
      <c r="E304" s="442">
        <v>0</v>
      </c>
      <c r="F304" s="444">
        <v>1566736</v>
      </c>
      <c r="G304" s="209">
        <f t="shared" si="8"/>
        <v>1566736</v>
      </c>
      <c r="J304">
        <f>VLOOKUP(A304,'BCE DIC 2019'!$A$1:$F$396,6,0)</f>
        <v>2296640</v>
      </c>
      <c r="K304">
        <f t="shared" si="9"/>
        <v>-729904</v>
      </c>
    </row>
    <row r="305" spans="1:11" ht="12.75">
      <c r="A305" s="441">
        <v>511006</v>
      </c>
      <c r="B305" s="441" t="s">
        <v>491</v>
      </c>
      <c r="C305" s="442">
        <v>1372062</v>
      </c>
      <c r="D305" s="442">
        <v>0</v>
      </c>
      <c r="E305" s="442">
        <v>0</v>
      </c>
      <c r="F305" s="444">
        <v>1372062</v>
      </c>
      <c r="G305" s="209">
        <f t="shared" si="8"/>
        <v>0</v>
      </c>
      <c r="J305">
        <f>VLOOKUP(A305,'BCE DIC 2019'!$A$1:$F$396,6,0)</f>
        <v>2242510</v>
      </c>
      <c r="K305">
        <f t="shared" si="9"/>
        <v>-870448</v>
      </c>
    </row>
    <row r="306" spans="1:11" ht="12.75">
      <c r="A306" s="441">
        <v>51101001</v>
      </c>
      <c r="B306" s="441" t="s">
        <v>492</v>
      </c>
      <c r="C306" s="442">
        <v>1115062</v>
      </c>
      <c r="D306" s="442">
        <v>0</v>
      </c>
      <c r="E306" s="442">
        <v>0</v>
      </c>
      <c r="F306" s="444">
        <v>1115062</v>
      </c>
      <c r="G306" s="209">
        <f t="shared" si="8"/>
        <v>0</v>
      </c>
      <c r="J306">
        <f>VLOOKUP(A306,'BCE DIC 2019'!$A$1:$F$396,6,0)</f>
        <v>1116380</v>
      </c>
      <c r="K306">
        <f t="shared" si="9"/>
        <v>-1318</v>
      </c>
    </row>
    <row r="307" spans="1:11" ht="12.75">
      <c r="A307" s="441">
        <v>51101002</v>
      </c>
      <c r="B307" s="441" t="s">
        <v>493</v>
      </c>
      <c r="C307" s="442">
        <v>257000</v>
      </c>
      <c r="D307" s="442">
        <v>0</v>
      </c>
      <c r="E307" s="442">
        <v>0</v>
      </c>
      <c r="F307" s="444">
        <v>257000</v>
      </c>
      <c r="G307" s="209">
        <f t="shared" si="8"/>
        <v>0</v>
      </c>
      <c r="J307">
        <f>VLOOKUP(A307,'BCE DIC 2019'!$A$1:$F$396,6,0)</f>
        <v>1126130</v>
      </c>
      <c r="K307">
        <f t="shared" si="9"/>
        <v>-869130</v>
      </c>
    </row>
    <row r="308" spans="1:11" ht="12.75">
      <c r="A308" s="441">
        <v>511009</v>
      </c>
      <c r="B308" s="441" t="s">
        <v>494</v>
      </c>
      <c r="C308" s="442">
        <v>24993250</v>
      </c>
      <c r="D308" s="442">
        <v>25400</v>
      </c>
      <c r="E308" s="442">
        <v>0</v>
      </c>
      <c r="F308" s="444">
        <v>25018650</v>
      </c>
      <c r="G308" s="209">
        <f t="shared" si="8"/>
        <v>25400</v>
      </c>
      <c r="J308">
        <f>VLOOKUP(A308,'BCE DIC 2019'!$A$1:$F$396,6,0)</f>
        <v>3225000</v>
      </c>
      <c r="K308">
        <f t="shared" si="9"/>
        <v>21793650</v>
      </c>
    </row>
    <row r="309" spans="1:11" ht="12.75">
      <c r="A309" s="441">
        <v>51101601</v>
      </c>
      <c r="B309" s="441" t="s">
        <v>495</v>
      </c>
      <c r="C309" s="442">
        <v>24993250</v>
      </c>
      <c r="D309" s="442">
        <v>25400</v>
      </c>
      <c r="E309" s="442">
        <v>0</v>
      </c>
      <c r="F309" s="444">
        <v>25018650</v>
      </c>
      <c r="G309" s="209">
        <f t="shared" si="8"/>
        <v>25400</v>
      </c>
      <c r="J309">
        <f>VLOOKUP(A309,'BCE DIC 2019'!$A$1:$F$396,6,0)</f>
        <v>3225000</v>
      </c>
      <c r="K309">
        <f t="shared" si="9"/>
        <v>21793650</v>
      </c>
    </row>
    <row r="310" spans="1:11" ht="12.75">
      <c r="A310" s="441">
        <v>511010</v>
      </c>
      <c r="B310" s="441" t="s">
        <v>496</v>
      </c>
      <c r="C310" s="442">
        <v>1608009</v>
      </c>
      <c r="D310" s="442">
        <v>43500</v>
      </c>
      <c r="E310" s="442">
        <v>0</v>
      </c>
      <c r="F310" s="444">
        <v>1651509</v>
      </c>
      <c r="G310" s="209">
        <f t="shared" si="8"/>
        <v>43500</v>
      </c>
      <c r="J310">
        <f>VLOOKUP(A310,'BCE DIC 2019'!$A$1:$F$396,6,0)</f>
        <v>1566619</v>
      </c>
      <c r="K310">
        <f t="shared" si="9"/>
        <v>84890</v>
      </c>
    </row>
    <row r="311" spans="1:11" ht="12.75">
      <c r="A311" s="441">
        <v>51101801</v>
      </c>
      <c r="B311" s="441" t="s">
        <v>497</v>
      </c>
      <c r="C311" s="442">
        <v>1608009</v>
      </c>
      <c r="D311" s="442">
        <v>43500</v>
      </c>
      <c r="E311" s="442">
        <v>0</v>
      </c>
      <c r="F311" s="444">
        <v>1651509</v>
      </c>
      <c r="G311" s="209">
        <f t="shared" si="8"/>
        <v>43500</v>
      </c>
      <c r="J311">
        <f>VLOOKUP(A311,'BCE DIC 2019'!$A$1:$F$396,6,0)</f>
        <v>1566619</v>
      </c>
      <c r="K311">
        <f t="shared" si="9"/>
        <v>84890</v>
      </c>
    </row>
    <row r="312" spans="1:11" ht="12.75">
      <c r="A312" s="441">
        <v>511011</v>
      </c>
      <c r="B312" s="441" t="s">
        <v>498</v>
      </c>
      <c r="C312" s="442">
        <v>1840820</v>
      </c>
      <c r="D312" s="442">
        <v>453854</v>
      </c>
      <c r="E312" s="442">
        <v>0</v>
      </c>
      <c r="F312" s="444">
        <v>2294674</v>
      </c>
      <c r="G312" s="209">
        <f t="shared" si="8"/>
        <v>453854</v>
      </c>
      <c r="J312">
        <f>VLOOKUP(A312,'BCE DIC 2019'!$A$1:$F$396,6,0)</f>
        <v>3146111</v>
      </c>
      <c r="K312">
        <f t="shared" si="9"/>
        <v>-851437</v>
      </c>
    </row>
    <row r="313" spans="1:11" ht="12.75">
      <c r="A313" s="441">
        <v>51102001</v>
      </c>
      <c r="B313" s="441" t="s">
        <v>499</v>
      </c>
      <c r="C313" s="442">
        <v>1840820</v>
      </c>
      <c r="D313" s="442">
        <v>453854</v>
      </c>
      <c r="E313" s="442">
        <v>0</v>
      </c>
      <c r="F313" s="444">
        <v>2294674</v>
      </c>
      <c r="G313" s="209">
        <f t="shared" si="8"/>
        <v>453854</v>
      </c>
      <c r="J313">
        <f>VLOOKUP(A313,'BCE DIC 2019'!$A$1:$F$396,6,0)</f>
        <v>3146111</v>
      </c>
      <c r="K313">
        <f t="shared" si="9"/>
        <v>-851437</v>
      </c>
    </row>
    <row r="314" spans="1:11" ht="12.75">
      <c r="A314" s="441">
        <v>511012</v>
      </c>
      <c r="B314" s="441" t="s">
        <v>500</v>
      </c>
      <c r="C314" s="442">
        <v>18329136.71</v>
      </c>
      <c r="D314" s="442">
        <v>2019254.07</v>
      </c>
      <c r="E314" s="442">
        <v>230743.74</v>
      </c>
      <c r="F314" s="444">
        <v>20117647.04</v>
      </c>
      <c r="G314" s="209">
        <f t="shared" si="8"/>
        <v>1788510.3299999982</v>
      </c>
      <c r="J314">
        <f>VLOOKUP(A314,'BCE DIC 2019'!$A$1:$F$396,6,0)</f>
        <v>8591682.25</v>
      </c>
      <c r="K314">
        <f t="shared" si="9"/>
        <v>11525964.79</v>
      </c>
    </row>
    <row r="315" spans="1:11" ht="12.75">
      <c r="A315" s="441">
        <v>51102201</v>
      </c>
      <c r="B315" s="441" t="s">
        <v>816</v>
      </c>
      <c r="C315" s="442">
        <v>815993</v>
      </c>
      <c r="D315" s="442">
        <v>159000</v>
      </c>
      <c r="E315" s="442">
        <v>0</v>
      </c>
      <c r="F315" s="444">
        <v>974993</v>
      </c>
      <c r="G315" s="209">
        <f t="shared" si="8"/>
        <v>159000</v>
      </c>
      <c r="J315">
        <f>VLOOKUP(A315,'BCE DIC 2019'!$A$1:$F$396,6,0)</f>
        <v>754830</v>
      </c>
      <c r="K315">
        <f t="shared" si="9"/>
        <v>220163</v>
      </c>
    </row>
    <row r="316" spans="1:11" ht="12.75">
      <c r="A316" s="441">
        <v>51102202</v>
      </c>
      <c r="B316" s="441" t="s">
        <v>502</v>
      </c>
      <c r="C316" s="442">
        <v>5425570</v>
      </c>
      <c r="D316" s="442">
        <v>588300</v>
      </c>
      <c r="E316" s="442">
        <v>0</v>
      </c>
      <c r="F316" s="444">
        <v>6013870</v>
      </c>
      <c r="G316" s="209">
        <f t="shared" si="8"/>
        <v>588300</v>
      </c>
      <c r="J316">
        <f>VLOOKUP(A316,'BCE DIC 2019'!$A$1:$F$396,6,0)</f>
        <v>3462080</v>
      </c>
      <c r="K316">
        <f t="shared" si="9"/>
        <v>2551790</v>
      </c>
    </row>
    <row r="317" spans="1:11" ht="12.75">
      <c r="A317" s="441">
        <v>51102203</v>
      </c>
      <c r="B317" s="441" t="s">
        <v>503</v>
      </c>
      <c r="C317" s="442">
        <v>4508103.71</v>
      </c>
      <c r="D317" s="442">
        <v>588284.07</v>
      </c>
      <c r="E317" s="442">
        <v>230743.74</v>
      </c>
      <c r="F317" s="444">
        <v>4865644.04</v>
      </c>
      <c r="G317" s="209">
        <f t="shared" si="8"/>
        <v>357540.3300000001</v>
      </c>
      <c r="J317">
        <f>VLOOKUP(A317,'BCE DIC 2019'!$A$1:$F$396,6,0)</f>
        <v>3645412.25</v>
      </c>
      <c r="K317">
        <f t="shared" si="9"/>
        <v>1220231.79</v>
      </c>
    </row>
    <row r="318" spans="1:11" ht="12.75">
      <c r="A318" s="441">
        <v>51102204</v>
      </c>
      <c r="B318" s="441" t="s">
        <v>504</v>
      </c>
      <c r="C318" s="442">
        <v>241660</v>
      </c>
      <c r="D318" s="442">
        <v>9640</v>
      </c>
      <c r="E318" s="442">
        <v>0</v>
      </c>
      <c r="F318" s="444">
        <v>251300</v>
      </c>
      <c r="G318" s="209">
        <f t="shared" si="8"/>
        <v>9640</v>
      </c>
      <c r="J318">
        <f>VLOOKUP(A318,'BCE DIC 2019'!$A$1:$F$396,6,0)</f>
        <v>493680</v>
      </c>
      <c r="K318">
        <f t="shared" si="9"/>
        <v>-242380</v>
      </c>
    </row>
    <row r="319" spans="1:11" ht="12.75">
      <c r="A319" s="441">
        <v>51102206</v>
      </c>
      <c r="B319" s="441" t="s">
        <v>505</v>
      </c>
      <c r="C319" s="442">
        <v>216850</v>
      </c>
      <c r="D319" s="442">
        <v>26670</v>
      </c>
      <c r="E319" s="442">
        <v>0</v>
      </c>
      <c r="F319" s="444">
        <v>243520</v>
      </c>
      <c r="G319" s="209">
        <f t="shared" si="8"/>
        <v>26670</v>
      </c>
      <c r="J319">
        <f>VLOOKUP(A319,'BCE DIC 2019'!$A$1:$F$396,6,0)</f>
        <v>235680</v>
      </c>
      <c r="K319">
        <f t="shared" si="9"/>
        <v>7840</v>
      </c>
    </row>
    <row r="320" spans="1:11" ht="12.75">
      <c r="A320" s="441">
        <v>51102209</v>
      </c>
      <c r="B320" s="441" t="s">
        <v>746</v>
      </c>
      <c r="C320" s="442">
        <v>7120960</v>
      </c>
      <c r="D320" s="442">
        <v>647360</v>
      </c>
      <c r="E320" s="442">
        <v>0</v>
      </c>
      <c r="F320" s="444">
        <v>7768320</v>
      </c>
      <c r="G320" s="209">
        <f t="shared" si="8"/>
        <v>647360</v>
      </c>
      <c r="J320" t="e">
        <f>VLOOKUP(A320,'BCE DIC 2019'!$A$1:$F$396,6,0)</f>
        <v>#N/A</v>
      </c>
      <c r="K320" t="e">
        <f t="shared" si="9"/>
        <v>#N/A</v>
      </c>
    </row>
    <row r="321" spans="1:11" ht="12.75">
      <c r="A321" s="441">
        <v>511013</v>
      </c>
      <c r="B321" s="441" t="s">
        <v>506</v>
      </c>
      <c r="C321" s="442">
        <v>9400</v>
      </c>
      <c r="D321" s="442">
        <v>0</v>
      </c>
      <c r="E321" s="442">
        <v>0</v>
      </c>
      <c r="F321" s="444">
        <v>9400</v>
      </c>
      <c r="G321" s="209">
        <f t="shared" si="8"/>
        <v>0</v>
      </c>
      <c r="J321">
        <f>VLOOKUP(A321,'BCE DIC 2019'!$A$1:$F$396,6,0)</f>
        <v>716100</v>
      </c>
      <c r="K321">
        <f t="shared" si="9"/>
        <v>-706700</v>
      </c>
    </row>
    <row r="322" spans="1:11" ht="12.75">
      <c r="A322" s="441">
        <v>51102401</v>
      </c>
      <c r="B322" s="441" t="s">
        <v>817</v>
      </c>
      <c r="C322" s="442">
        <v>9400</v>
      </c>
      <c r="D322" s="442">
        <v>0</v>
      </c>
      <c r="E322" s="442">
        <v>0</v>
      </c>
      <c r="F322" s="444">
        <v>9400</v>
      </c>
      <c r="G322" s="209">
        <f t="shared" si="8"/>
        <v>0</v>
      </c>
      <c r="J322">
        <f>VLOOKUP(A322,'BCE DIC 2019'!$A$1:$F$396,6,0)</f>
        <v>716100</v>
      </c>
      <c r="K322">
        <f t="shared" si="9"/>
        <v>-706700</v>
      </c>
    </row>
    <row r="323" spans="1:11" ht="12.75">
      <c r="A323" s="441">
        <v>511014</v>
      </c>
      <c r="B323" s="441" t="s">
        <v>508</v>
      </c>
      <c r="C323" s="442">
        <v>758800</v>
      </c>
      <c r="D323" s="442">
        <v>10450</v>
      </c>
      <c r="E323" s="442">
        <v>0</v>
      </c>
      <c r="F323" s="444">
        <v>769250</v>
      </c>
      <c r="G323" s="209">
        <f aca="true" t="shared" si="10" ref="G323:G386">+F323-C323</f>
        <v>10450</v>
      </c>
      <c r="J323">
        <f>VLOOKUP(A323,'BCE DIC 2019'!$A$1:$F$396,6,0)</f>
        <v>1150750</v>
      </c>
      <c r="K323">
        <f aca="true" t="shared" si="11" ref="K323:K386">+F323-J323</f>
        <v>-381500</v>
      </c>
    </row>
    <row r="324" spans="1:11" ht="12.75">
      <c r="A324" s="441">
        <v>51102601</v>
      </c>
      <c r="B324" s="441" t="s">
        <v>509</v>
      </c>
      <c r="C324" s="442">
        <v>758800</v>
      </c>
      <c r="D324" s="442">
        <v>10450</v>
      </c>
      <c r="E324" s="442">
        <v>0</v>
      </c>
      <c r="F324" s="444">
        <v>769250</v>
      </c>
      <c r="G324" s="209">
        <f t="shared" si="10"/>
        <v>10450</v>
      </c>
      <c r="J324">
        <f>VLOOKUP(A324,'BCE DIC 2019'!$A$1:$F$396,6,0)</f>
        <v>1150750</v>
      </c>
      <c r="K324">
        <f t="shared" si="11"/>
        <v>-381500</v>
      </c>
    </row>
    <row r="325" spans="1:11" ht="12.75">
      <c r="A325" s="441">
        <v>511015</v>
      </c>
      <c r="B325" s="441" t="s">
        <v>510</v>
      </c>
      <c r="C325" s="442">
        <v>1545069</v>
      </c>
      <c r="D325" s="442">
        <v>587000</v>
      </c>
      <c r="E325" s="442">
        <v>0</v>
      </c>
      <c r="F325" s="444">
        <v>2132069</v>
      </c>
      <c r="G325" s="209">
        <f t="shared" si="10"/>
        <v>587000</v>
      </c>
      <c r="J325">
        <f>VLOOKUP(A325,'BCE DIC 2019'!$A$1:$F$396,6,0)</f>
        <v>1958219</v>
      </c>
      <c r="K325">
        <f t="shared" si="11"/>
        <v>173850</v>
      </c>
    </row>
    <row r="326" spans="1:11" ht="12.75">
      <c r="A326" s="441">
        <v>51102801</v>
      </c>
      <c r="B326" s="441" t="s">
        <v>511</v>
      </c>
      <c r="C326" s="442">
        <v>1545069</v>
      </c>
      <c r="D326" s="442">
        <v>587000</v>
      </c>
      <c r="E326" s="442">
        <v>0</v>
      </c>
      <c r="F326" s="444">
        <v>2132069</v>
      </c>
      <c r="G326" s="209">
        <f t="shared" si="10"/>
        <v>587000</v>
      </c>
      <c r="J326">
        <f>VLOOKUP(A326,'BCE DIC 2019'!$A$1:$F$396,6,0)</f>
        <v>1958219</v>
      </c>
      <c r="K326">
        <f t="shared" si="11"/>
        <v>173850</v>
      </c>
    </row>
    <row r="327" spans="1:11" ht="12.75">
      <c r="A327" s="441">
        <v>511018</v>
      </c>
      <c r="B327" s="441" t="s">
        <v>516</v>
      </c>
      <c r="C327" s="442">
        <v>1000000</v>
      </c>
      <c r="D327" s="442">
        <v>0</v>
      </c>
      <c r="E327" s="442">
        <v>0</v>
      </c>
      <c r="F327" s="444">
        <v>1000000</v>
      </c>
      <c r="G327" s="209">
        <f t="shared" si="10"/>
        <v>0</v>
      </c>
      <c r="J327">
        <f>VLOOKUP(A327,'BCE DIC 2019'!$A$1:$F$396,6,0)</f>
        <v>4641584</v>
      </c>
      <c r="K327">
        <f t="shared" si="11"/>
        <v>-3641584</v>
      </c>
    </row>
    <row r="328" spans="1:11" ht="12.75">
      <c r="A328" s="441">
        <v>51103401</v>
      </c>
      <c r="B328" s="441" t="s">
        <v>517</v>
      </c>
      <c r="C328" s="442">
        <v>1000000</v>
      </c>
      <c r="D328" s="442">
        <v>0</v>
      </c>
      <c r="E328" s="442">
        <v>0</v>
      </c>
      <c r="F328" s="444">
        <v>1000000</v>
      </c>
      <c r="G328" s="209">
        <f t="shared" si="10"/>
        <v>0</v>
      </c>
      <c r="J328">
        <f>VLOOKUP(A328,'BCE DIC 2019'!$A$1:$F$396,6,0)</f>
        <v>4641584</v>
      </c>
      <c r="K328">
        <f t="shared" si="11"/>
        <v>-3641584</v>
      </c>
    </row>
    <row r="329" spans="1:11" ht="12.75">
      <c r="A329" s="441">
        <v>511019</v>
      </c>
      <c r="B329" s="441" t="s">
        <v>518</v>
      </c>
      <c r="C329" s="442">
        <v>3210607</v>
      </c>
      <c r="D329" s="442">
        <v>0</v>
      </c>
      <c r="E329" s="442">
        <v>0</v>
      </c>
      <c r="F329" s="444">
        <v>3210607</v>
      </c>
      <c r="G329" s="209">
        <f t="shared" si="10"/>
        <v>0</v>
      </c>
      <c r="J329">
        <f>VLOOKUP(A329,'BCE DIC 2019'!$A$1:$F$396,6,0)</f>
        <v>3137434</v>
      </c>
      <c r="K329">
        <f t="shared" si="11"/>
        <v>73173</v>
      </c>
    </row>
    <row r="330" spans="1:11" ht="12.75">
      <c r="A330" s="441">
        <v>51103601</v>
      </c>
      <c r="B330" s="441" t="s">
        <v>519</v>
      </c>
      <c r="C330" s="442">
        <v>3210607</v>
      </c>
      <c r="D330" s="442">
        <v>0</v>
      </c>
      <c r="E330" s="442">
        <v>0</v>
      </c>
      <c r="F330" s="444">
        <v>3210607</v>
      </c>
      <c r="G330" s="209">
        <f t="shared" si="10"/>
        <v>0</v>
      </c>
      <c r="J330">
        <f>VLOOKUP(A330,'BCE DIC 2019'!$A$1:$F$396,6,0)</f>
        <v>3137434</v>
      </c>
      <c r="K330">
        <f t="shared" si="11"/>
        <v>73173</v>
      </c>
    </row>
    <row r="331" spans="1:11" ht="12.75">
      <c r="A331" s="441">
        <v>511020</v>
      </c>
      <c r="B331" s="441" t="s">
        <v>520</v>
      </c>
      <c r="C331" s="442">
        <v>15999626</v>
      </c>
      <c r="D331" s="442">
        <v>50000</v>
      </c>
      <c r="E331" s="442">
        <v>0</v>
      </c>
      <c r="F331" s="444">
        <v>16049626</v>
      </c>
      <c r="G331" s="209">
        <f t="shared" si="10"/>
        <v>50000</v>
      </c>
      <c r="J331">
        <f>VLOOKUP(A331,'BCE DIC 2019'!$A$1:$F$396,6,0)</f>
        <v>18199000</v>
      </c>
      <c r="K331">
        <f t="shared" si="11"/>
        <v>-2149374</v>
      </c>
    </row>
    <row r="332" spans="1:11" ht="12.75">
      <c r="A332" s="441">
        <v>51103801</v>
      </c>
      <c r="B332" s="441" t="s">
        <v>130</v>
      </c>
      <c r="C332" s="442">
        <v>15999626</v>
      </c>
      <c r="D332" s="442">
        <v>50000</v>
      </c>
      <c r="E332" s="442">
        <v>0</v>
      </c>
      <c r="F332" s="444">
        <v>16049626</v>
      </c>
      <c r="G332" s="209">
        <f t="shared" si="10"/>
        <v>50000</v>
      </c>
      <c r="J332">
        <f>VLOOKUP(A332,'BCE DIC 2019'!$A$1:$F$396,6,0)</f>
        <v>18199000</v>
      </c>
      <c r="K332">
        <f t="shared" si="11"/>
        <v>-2149374</v>
      </c>
    </row>
    <row r="333" spans="1:11" ht="12.75">
      <c r="A333" s="441">
        <v>511021</v>
      </c>
      <c r="B333" s="441" t="s">
        <v>521</v>
      </c>
      <c r="C333" s="442">
        <v>5953700</v>
      </c>
      <c r="D333" s="442">
        <v>2670000</v>
      </c>
      <c r="E333" s="442">
        <v>0</v>
      </c>
      <c r="F333" s="444">
        <v>8623700</v>
      </c>
      <c r="G333" s="209">
        <f t="shared" si="10"/>
        <v>2670000</v>
      </c>
      <c r="J333">
        <f>VLOOKUP(A333,'BCE DIC 2019'!$A$1:$F$396,6,0)</f>
        <v>7772850</v>
      </c>
      <c r="K333">
        <f t="shared" si="11"/>
        <v>850850</v>
      </c>
    </row>
    <row r="334" spans="1:11" ht="12.75">
      <c r="A334" s="441">
        <v>51104001</v>
      </c>
      <c r="B334" s="441" t="s">
        <v>522</v>
      </c>
      <c r="C334" s="442">
        <v>4403400</v>
      </c>
      <c r="D334" s="442">
        <v>1700000</v>
      </c>
      <c r="E334" s="442">
        <v>0</v>
      </c>
      <c r="F334" s="444">
        <v>6103400</v>
      </c>
      <c r="G334" s="209">
        <f t="shared" si="10"/>
        <v>1700000</v>
      </c>
      <c r="J334">
        <f>VLOOKUP(A334,'BCE DIC 2019'!$A$1:$F$396,6,0)</f>
        <v>5542750</v>
      </c>
      <c r="K334">
        <f t="shared" si="11"/>
        <v>560650</v>
      </c>
    </row>
    <row r="335" spans="1:11" ht="12.75">
      <c r="A335" s="441">
        <v>51104002</v>
      </c>
      <c r="B335" s="441" t="s">
        <v>523</v>
      </c>
      <c r="C335" s="442">
        <v>1550300</v>
      </c>
      <c r="D335" s="442">
        <v>970000</v>
      </c>
      <c r="E335" s="442">
        <v>0</v>
      </c>
      <c r="F335" s="444">
        <v>2520300</v>
      </c>
      <c r="G335" s="209">
        <f t="shared" si="10"/>
        <v>970000</v>
      </c>
      <c r="J335">
        <f>VLOOKUP(A335,'BCE DIC 2019'!$A$1:$F$396,6,0)</f>
        <v>2230100</v>
      </c>
      <c r="K335">
        <f t="shared" si="11"/>
        <v>290200</v>
      </c>
    </row>
    <row r="336" spans="1:11" ht="12.75">
      <c r="A336" s="441">
        <v>511022</v>
      </c>
      <c r="B336" s="441" t="s">
        <v>524</v>
      </c>
      <c r="C336" s="442">
        <v>2700500</v>
      </c>
      <c r="D336" s="442">
        <v>2200000</v>
      </c>
      <c r="E336" s="442">
        <v>0</v>
      </c>
      <c r="F336" s="444">
        <v>4900500</v>
      </c>
      <c r="G336" s="209">
        <f t="shared" si="10"/>
        <v>2200000</v>
      </c>
      <c r="J336">
        <f>VLOOKUP(A336,'BCE DIC 2019'!$A$1:$F$396,6,0)</f>
        <v>3992850</v>
      </c>
      <c r="K336">
        <f t="shared" si="11"/>
        <v>907650</v>
      </c>
    </row>
    <row r="337" spans="1:11" ht="12.75">
      <c r="A337" s="441">
        <v>51104201</v>
      </c>
      <c r="B337" s="441" t="s">
        <v>747</v>
      </c>
      <c r="C337" s="442">
        <v>598900</v>
      </c>
      <c r="D337" s="442">
        <v>500000</v>
      </c>
      <c r="E337" s="442">
        <v>0</v>
      </c>
      <c r="F337" s="444">
        <v>1098900</v>
      </c>
      <c r="G337" s="209">
        <f t="shared" si="10"/>
        <v>500000</v>
      </c>
      <c r="J337">
        <f>VLOOKUP(A337,'BCE DIC 2019'!$A$1:$F$396,6,0)</f>
        <v>323875</v>
      </c>
      <c r="K337">
        <f t="shared" si="11"/>
        <v>775025</v>
      </c>
    </row>
    <row r="338" spans="1:11" ht="12.75">
      <c r="A338" s="441">
        <v>51104202</v>
      </c>
      <c r="B338" s="441" t="s">
        <v>526</v>
      </c>
      <c r="C338" s="442">
        <v>1293900</v>
      </c>
      <c r="D338" s="442">
        <v>1000000</v>
      </c>
      <c r="E338" s="442">
        <v>0</v>
      </c>
      <c r="F338" s="444">
        <v>2293900</v>
      </c>
      <c r="G338" s="209">
        <f t="shared" si="10"/>
        <v>1000000</v>
      </c>
      <c r="J338">
        <f>VLOOKUP(A338,'BCE DIC 2019'!$A$1:$F$396,6,0)</f>
        <v>2283325</v>
      </c>
      <c r="K338">
        <f t="shared" si="11"/>
        <v>10575</v>
      </c>
    </row>
    <row r="339" spans="1:11" ht="12.75">
      <c r="A339" s="441">
        <v>51104203</v>
      </c>
      <c r="B339" s="441" t="s">
        <v>527</v>
      </c>
      <c r="C339" s="442">
        <v>327700</v>
      </c>
      <c r="D339" s="442">
        <v>400000</v>
      </c>
      <c r="E339" s="442">
        <v>0</v>
      </c>
      <c r="F339" s="444">
        <v>727700</v>
      </c>
      <c r="G339" s="209">
        <f t="shared" si="10"/>
        <v>400000</v>
      </c>
      <c r="J339">
        <f>VLOOKUP(A339,'BCE DIC 2019'!$A$1:$F$396,6,0)</f>
        <v>494025</v>
      </c>
      <c r="K339">
        <f t="shared" si="11"/>
        <v>233675</v>
      </c>
    </row>
    <row r="340" spans="1:11" ht="12.75">
      <c r="A340" s="441">
        <v>51104205</v>
      </c>
      <c r="B340" s="441" t="s">
        <v>528</v>
      </c>
      <c r="C340" s="442">
        <v>180000</v>
      </c>
      <c r="D340" s="442">
        <v>150000</v>
      </c>
      <c r="E340" s="442">
        <v>0</v>
      </c>
      <c r="F340" s="444">
        <v>330000</v>
      </c>
      <c r="G340" s="209">
        <f t="shared" si="10"/>
        <v>150000</v>
      </c>
      <c r="J340">
        <f>VLOOKUP(A340,'BCE DIC 2019'!$A$1:$F$396,6,0)</f>
        <v>599575</v>
      </c>
      <c r="K340">
        <f t="shared" si="11"/>
        <v>-269575</v>
      </c>
    </row>
    <row r="341" spans="1:11" ht="12.75">
      <c r="A341" s="441">
        <v>51104206</v>
      </c>
      <c r="B341" s="441" t="s">
        <v>818</v>
      </c>
      <c r="C341" s="442">
        <v>300000</v>
      </c>
      <c r="D341" s="442">
        <v>150000</v>
      </c>
      <c r="E341" s="442">
        <v>0</v>
      </c>
      <c r="F341" s="444">
        <v>450000</v>
      </c>
      <c r="G341" s="209">
        <f t="shared" si="10"/>
        <v>150000</v>
      </c>
      <c r="J341" t="e">
        <f>VLOOKUP(A341,'BCE DIC 2019'!$A$1:$F$396,6,0)</f>
        <v>#N/A</v>
      </c>
      <c r="K341" t="e">
        <f t="shared" si="11"/>
        <v>#N/A</v>
      </c>
    </row>
    <row r="342" spans="1:11" ht="12.75">
      <c r="A342" s="441">
        <v>511024</v>
      </c>
      <c r="B342" s="441" t="s">
        <v>529</v>
      </c>
      <c r="C342" s="442">
        <v>2949463</v>
      </c>
      <c r="D342" s="442">
        <v>0</v>
      </c>
      <c r="E342" s="442">
        <v>0</v>
      </c>
      <c r="F342" s="444">
        <v>2949463</v>
      </c>
      <c r="G342" s="209">
        <f t="shared" si="10"/>
        <v>0</v>
      </c>
      <c r="J342">
        <f>VLOOKUP(A342,'BCE DIC 2019'!$A$1:$F$396,6,0)</f>
        <v>3244810</v>
      </c>
      <c r="K342">
        <f t="shared" si="11"/>
        <v>-295347</v>
      </c>
    </row>
    <row r="343" spans="1:11" ht="12.75">
      <c r="A343" s="441">
        <v>51104601</v>
      </c>
      <c r="B343" s="441" t="s">
        <v>530</v>
      </c>
      <c r="C343" s="442">
        <v>529463</v>
      </c>
      <c r="D343" s="442">
        <v>0</v>
      </c>
      <c r="E343" s="442">
        <v>0</v>
      </c>
      <c r="F343" s="444">
        <v>529463</v>
      </c>
      <c r="G343" s="209">
        <f t="shared" si="10"/>
        <v>0</v>
      </c>
      <c r="J343">
        <f>VLOOKUP(A343,'BCE DIC 2019'!$A$1:$F$396,6,0)</f>
        <v>69394</v>
      </c>
      <c r="K343">
        <f t="shared" si="11"/>
        <v>460069</v>
      </c>
    </row>
    <row r="344" spans="1:11" ht="12.75">
      <c r="A344" s="441">
        <v>51104602</v>
      </c>
      <c r="B344" s="441" t="s">
        <v>531</v>
      </c>
      <c r="C344" s="442">
        <v>2420000</v>
      </c>
      <c r="D344" s="442">
        <v>0</v>
      </c>
      <c r="E344" s="442">
        <v>0</v>
      </c>
      <c r="F344" s="444">
        <v>2420000</v>
      </c>
      <c r="G344" s="209">
        <f t="shared" si="10"/>
        <v>0</v>
      </c>
      <c r="J344">
        <f>VLOOKUP(A344,'BCE DIC 2019'!$A$1:$F$396,6,0)</f>
        <v>2017000</v>
      </c>
      <c r="K344">
        <f t="shared" si="11"/>
        <v>403000</v>
      </c>
    </row>
    <row r="345" spans="1:11" ht="12.75">
      <c r="A345" s="441">
        <v>511025</v>
      </c>
      <c r="B345" s="441" t="s">
        <v>532</v>
      </c>
      <c r="C345" s="442">
        <v>4308539</v>
      </c>
      <c r="D345" s="442">
        <v>340226</v>
      </c>
      <c r="E345" s="442">
        <v>0</v>
      </c>
      <c r="F345" s="444">
        <v>4648765</v>
      </c>
      <c r="G345" s="209">
        <f t="shared" si="10"/>
        <v>340226</v>
      </c>
      <c r="J345">
        <f>VLOOKUP(A345,'BCE DIC 2019'!$A$1:$F$396,6,0)</f>
        <v>4220237</v>
      </c>
      <c r="K345">
        <f t="shared" si="11"/>
        <v>428528</v>
      </c>
    </row>
    <row r="346" spans="1:11" ht="12.75">
      <c r="A346" s="441">
        <v>51104801</v>
      </c>
      <c r="B346" s="441" t="s">
        <v>533</v>
      </c>
      <c r="C346" s="442">
        <v>4308539</v>
      </c>
      <c r="D346" s="442">
        <v>340226</v>
      </c>
      <c r="E346" s="442">
        <v>0</v>
      </c>
      <c r="F346" s="444">
        <v>4648765</v>
      </c>
      <c r="G346" s="209">
        <f t="shared" si="10"/>
        <v>340226</v>
      </c>
      <c r="J346">
        <f>VLOOKUP(A346,'BCE DIC 2019'!$A$1:$F$396,6,0)</f>
        <v>4220237</v>
      </c>
      <c r="K346">
        <f t="shared" si="11"/>
        <v>428528</v>
      </c>
    </row>
    <row r="347" spans="1:11" ht="12.75">
      <c r="A347" s="441">
        <v>511028</v>
      </c>
      <c r="B347" s="441" t="s">
        <v>622</v>
      </c>
      <c r="C347" s="442">
        <v>920000</v>
      </c>
      <c r="D347" s="442">
        <v>0</v>
      </c>
      <c r="E347" s="442">
        <v>0</v>
      </c>
      <c r="F347" s="444">
        <v>920000</v>
      </c>
      <c r="G347" s="209">
        <f t="shared" si="10"/>
        <v>0</v>
      </c>
      <c r="J347">
        <f>VLOOKUP(A347,'BCE DIC 2019'!$A$1:$F$396,6,0)</f>
        <v>2150000</v>
      </c>
      <c r="K347">
        <f t="shared" si="11"/>
        <v>-1230000</v>
      </c>
    </row>
    <row r="348" spans="1:11" ht="12.75">
      <c r="A348" s="441">
        <v>51105401</v>
      </c>
      <c r="B348" s="441" t="s">
        <v>623</v>
      </c>
      <c r="C348" s="442">
        <v>920000</v>
      </c>
      <c r="D348" s="442">
        <v>0</v>
      </c>
      <c r="E348" s="442">
        <v>0</v>
      </c>
      <c r="F348" s="444">
        <v>920000</v>
      </c>
      <c r="G348" s="209">
        <f t="shared" si="10"/>
        <v>0</v>
      </c>
      <c r="J348">
        <f>VLOOKUP(A348,'BCE DIC 2019'!$A$1:$F$396,6,0)</f>
        <v>2150000</v>
      </c>
      <c r="K348">
        <f t="shared" si="11"/>
        <v>-1230000</v>
      </c>
    </row>
    <row r="349" spans="1:11" ht="12.75">
      <c r="A349" s="441">
        <v>511030</v>
      </c>
      <c r="B349" s="441" t="s">
        <v>536</v>
      </c>
      <c r="C349" s="442">
        <v>17883711.3</v>
      </c>
      <c r="D349" s="442">
        <v>1156576.65</v>
      </c>
      <c r="E349" s="442">
        <v>0</v>
      </c>
      <c r="F349" s="444">
        <v>19040287.95</v>
      </c>
      <c r="G349" s="209">
        <f t="shared" si="10"/>
        <v>1156576.6499999985</v>
      </c>
      <c r="J349">
        <f>VLOOKUP(A349,'BCE DIC 2019'!$A$1:$F$396,6,0)</f>
        <v>9661552</v>
      </c>
      <c r="K349">
        <f t="shared" si="11"/>
        <v>9378735.95</v>
      </c>
    </row>
    <row r="350" spans="1:12" ht="12.75">
      <c r="A350" s="441">
        <v>51105801</v>
      </c>
      <c r="B350" s="441" t="s">
        <v>537</v>
      </c>
      <c r="C350" s="442">
        <v>4367059</v>
      </c>
      <c r="D350" s="442">
        <v>344422</v>
      </c>
      <c r="E350" s="442">
        <v>0</v>
      </c>
      <c r="F350" s="444">
        <v>4711481</v>
      </c>
      <c r="G350" s="209">
        <f t="shared" si="10"/>
        <v>344422</v>
      </c>
      <c r="J350">
        <f>VLOOKUP(A350,'BCE DIC 2019'!$A$1:$F$396,6,0)</f>
        <v>3902444</v>
      </c>
      <c r="K350">
        <f t="shared" si="11"/>
        <v>809037</v>
      </c>
      <c r="L350">
        <f>+F350-F355</f>
        <v>4496584</v>
      </c>
    </row>
    <row r="351" spans="1:11" ht="12.75">
      <c r="A351" s="441">
        <v>51105803</v>
      </c>
      <c r="B351" s="441" t="s">
        <v>819</v>
      </c>
      <c r="C351" s="442">
        <v>13516652.3</v>
      </c>
      <c r="D351" s="442">
        <v>812154.65</v>
      </c>
      <c r="E351" s="442">
        <v>0</v>
      </c>
      <c r="F351" s="444">
        <v>14328806.95</v>
      </c>
      <c r="G351" s="209">
        <f t="shared" si="10"/>
        <v>812154.6499999985</v>
      </c>
      <c r="J351">
        <f>VLOOKUP(A351,'BCE DIC 2019'!$A$1:$F$396,6,0)</f>
        <v>5759108</v>
      </c>
      <c r="K351">
        <f t="shared" si="11"/>
        <v>8569698.95</v>
      </c>
    </row>
    <row r="352" spans="1:12" ht="12.75">
      <c r="A352" s="441">
        <v>511032</v>
      </c>
      <c r="B352" s="441" t="s">
        <v>539</v>
      </c>
      <c r="C352" s="442">
        <v>1284096.08</v>
      </c>
      <c r="D352" s="442">
        <v>85047</v>
      </c>
      <c r="E352" s="442">
        <v>0</v>
      </c>
      <c r="F352" s="444">
        <v>1369143.08</v>
      </c>
      <c r="G352" s="209">
        <f t="shared" si="10"/>
        <v>85047</v>
      </c>
      <c r="J352">
        <f>VLOOKUP(A352,'BCE DIC 2019'!$A$1:$F$396,6,0)</f>
        <v>429000</v>
      </c>
      <c r="K352">
        <f t="shared" si="11"/>
        <v>940143.0800000001</v>
      </c>
      <c r="L352">
        <f>+F352+F353</f>
        <v>2738286.16</v>
      </c>
    </row>
    <row r="353" spans="1:11" ht="12.75">
      <c r="A353" s="441">
        <v>51106201</v>
      </c>
      <c r="B353" s="441" t="s">
        <v>540</v>
      </c>
      <c r="C353" s="442">
        <v>1284096.08</v>
      </c>
      <c r="D353" s="442">
        <v>85047</v>
      </c>
      <c r="E353" s="442">
        <v>0</v>
      </c>
      <c r="F353" s="444">
        <v>1369143.08</v>
      </c>
      <c r="G353" s="209">
        <f t="shared" si="10"/>
        <v>85047</v>
      </c>
      <c r="J353">
        <f>VLOOKUP(A353,'BCE DIC 2019'!$A$1:$F$396,6,0)</f>
        <v>429000</v>
      </c>
      <c r="K353">
        <f t="shared" si="11"/>
        <v>940143.0800000001</v>
      </c>
    </row>
    <row r="354" spans="1:11" ht="12.75">
      <c r="A354" s="441">
        <v>511095</v>
      </c>
      <c r="B354" s="441" t="s">
        <v>338</v>
      </c>
      <c r="C354" s="442">
        <v>260727716.5</v>
      </c>
      <c r="D354" s="442">
        <v>46997075</v>
      </c>
      <c r="E354" s="442">
        <v>106416</v>
      </c>
      <c r="F354" s="444">
        <v>307618375.5</v>
      </c>
      <c r="G354" s="209">
        <f t="shared" si="10"/>
        <v>46890659</v>
      </c>
      <c r="J354">
        <f>VLOOKUP(A354,'BCE DIC 2019'!$A$1:$F$396,6,0)</f>
        <v>279377223.12</v>
      </c>
      <c r="K354">
        <f t="shared" si="11"/>
        <v>28241152.379999995</v>
      </c>
    </row>
    <row r="355" spans="1:11" ht="12.75">
      <c r="A355" s="441">
        <v>51107001</v>
      </c>
      <c r="B355" s="441" t="s">
        <v>541</v>
      </c>
      <c r="C355" s="442">
        <v>214897</v>
      </c>
      <c r="D355" s="442">
        <v>0</v>
      </c>
      <c r="E355" s="442">
        <v>0</v>
      </c>
      <c r="F355" s="444">
        <v>214897</v>
      </c>
      <c r="G355" s="209">
        <f t="shared" si="10"/>
        <v>0</v>
      </c>
      <c r="J355">
        <f>VLOOKUP(A355,'BCE DIC 2019'!$A$1:$F$396,6,0)</f>
        <v>4247100</v>
      </c>
      <c r="K355">
        <f t="shared" si="11"/>
        <v>-4032203</v>
      </c>
    </row>
    <row r="356" spans="1:11" ht="12.75">
      <c r="A356" s="441">
        <v>51107801</v>
      </c>
      <c r="B356" s="441" t="s">
        <v>624</v>
      </c>
      <c r="C356" s="442">
        <v>254272930</v>
      </c>
      <c r="D356" s="442">
        <v>1881200</v>
      </c>
      <c r="E356" s="442">
        <v>50000</v>
      </c>
      <c r="F356" s="444">
        <v>256104130</v>
      </c>
      <c r="G356" s="209">
        <f t="shared" si="10"/>
        <v>1831200</v>
      </c>
      <c r="J356">
        <f>VLOOKUP(A356,'BCE DIC 2019'!$A$1:$F$396,6,0)</f>
        <v>273543210.12</v>
      </c>
      <c r="K356">
        <f t="shared" si="11"/>
        <v>-17439080.120000005</v>
      </c>
    </row>
    <row r="357" spans="1:11" ht="12.75">
      <c r="A357" s="441">
        <v>51109501</v>
      </c>
      <c r="B357" s="441" t="s">
        <v>820</v>
      </c>
      <c r="C357" s="442">
        <v>5000000</v>
      </c>
      <c r="D357" s="442">
        <v>45104000</v>
      </c>
      <c r="E357" s="442">
        <v>49000</v>
      </c>
      <c r="F357" s="444">
        <v>50055000</v>
      </c>
      <c r="G357" s="209">
        <f t="shared" si="10"/>
        <v>45055000</v>
      </c>
      <c r="J357">
        <v>0</v>
      </c>
      <c r="K357">
        <f t="shared" si="11"/>
        <v>50055000</v>
      </c>
    </row>
    <row r="358" spans="1:11" ht="12.75">
      <c r="A358" s="441">
        <v>51109502</v>
      </c>
      <c r="B358" s="441" t="s">
        <v>821</v>
      </c>
      <c r="C358" s="442">
        <v>213311</v>
      </c>
      <c r="D358" s="442">
        <v>7100</v>
      </c>
      <c r="E358" s="442">
        <v>0</v>
      </c>
      <c r="F358" s="444">
        <v>220411</v>
      </c>
      <c r="G358" s="209">
        <f t="shared" si="10"/>
        <v>7100</v>
      </c>
      <c r="J358">
        <v>0</v>
      </c>
      <c r="K358">
        <f t="shared" si="11"/>
        <v>220411</v>
      </c>
    </row>
    <row r="359" spans="1:11" ht="12.75">
      <c r="A359" s="441">
        <v>51109503</v>
      </c>
      <c r="B359" s="441" t="s">
        <v>542</v>
      </c>
      <c r="C359" s="442">
        <v>91000</v>
      </c>
      <c r="D359" s="442">
        <v>0</v>
      </c>
      <c r="E359" s="442">
        <v>0</v>
      </c>
      <c r="F359" s="444">
        <v>91000</v>
      </c>
      <c r="G359" s="209">
        <f t="shared" si="10"/>
        <v>0</v>
      </c>
      <c r="J359">
        <v>0</v>
      </c>
      <c r="K359">
        <f t="shared" si="11"/>
        <v>91000</v>
      </c>
    </row>
    <row r="360" spans="1:11" ht="12.75">
      <c r="A360" s="441">
        <v>51109504</v>
      </c>
      <c r="B360" s="441" t="s">
        <v>822</v>
      </c>
      <c r="C360" s="442">
        <v>924300</v>
      </c>
      <c r="D360" s="442">
        <v>0</v>
      </c>
      <c r="E360" s="442">
        <v>0</v>
      </c>
      <c r="F360" s="444">
        <v>924300</v>
      </c>
      <c r="G360" s="209">
        <f t="shared" si="10"/>
        <v>0</v>
      </c>
      <c r="J360">
        <v>0</v>
      </c>
      <c r="K360">
        <f t="shared" si="11"/>
        <v>924300</v>
      </c>
    </row>
    <row r="361" spans="1:11" ht="12.75">
      <c r="A361" s="441">
        <v>53059501</v>
      </c>
      <c r="B361" s="441" t="s">
        <v>823</v>
      </c>
      <c r="C361" s="442">
        <v>11278.5</v>
      </c>
      <c r="D361" s="442">
        <v>4775</v>
      </c>
      <c r="E361" s="442">
        <v>7416</v>
      </c>
      <c r="F361" s="444">
        <v>8637.5</v>
      </c>
      <c r="G361" s="209">
        <f t="shared" si="10"/>
        <v>-2641</v>
      </c>
      <c r="J361">
        <f>VLOOKUP(A361,'BCE DIC 2019'!$A$1:$F$396,6,0)</f>
        <v>1149.66</v>
      </c>
      <c r="K361">
        <f t="shared" si="11"/>
        <v>7487.84</v>
      </c>
    </row>
    <row r="362" spans="1:11" ht="12.75">
      <c r="A362" s="441">
        <v>5115</v>
      </c>
      <c r="B362" s="441" t="s">
        <v>543</v>
      </c>
      <c r="C362" s="442">
        <v>111598150.79</v>
      </c>
      <c r="D362" s="442">
        <v>6013169.59</v>
      </c>
      <c r="E362" s="442">
        <v>21153726.23</v>
      </c>
      <c r="F362" s="444">
        <v>96457594.15</v>
      </c>
      <c r="G362" s="209">
        <f t="shared" si="10"/>
        <v>-15140556.64</v>
      </c>
      <c r="J362">
        <f>VLOOKUP(A362,'BCE DIC 2019'!$A$1:$F$396,6,0)</f>
        <v>103890737.18</v>
      </c>
      <c r="K362">
        <f t="shared" si="11"/>
        <v>-7433143.030000001</v>
      </c>
    </row>
    <row r="363" spans="1:11" ht="12.75">
      <c r="A363" s="441">
        <v>511517</v>
      </c>
      <c r="B363" s="441" t="s">
        <v>544</v>
      </c>
      <c r="C363" s="442">
        <v>75834797.79</v>
      </c>
      <c r="D363" s="442">
        <v>3241024.59</v>
      </c>
      <c r="E363" s="442">
        <v>13178007.23</v>
      </c>
      <c r="F363" s="444">
        <v>65897815.15</v>
      </c>
      <c r="G363" s="209">
        <f t="shared" si="10"/>
        <v>-9936982.640000008</v>
      </c>
      <c r="J363">
        <f>VLOOKUP(A363,'BCE DIC 2019'!$A$1:$F$396,6,0)</f>
        <v>64111325.18</v>
      </c>
      <c r="K363">
        <f t="shared" si="11"/>
        <v>1786489.9699999988</v>
      </c>
    </row>
    <row r="364" spans="1:11" ht="12.75">
      <c r="A364" s="441">
        <v>51151501</v>
      </c>
      <c r="B364" s="441" t="s">
        <v>749</v>
      </c>
      <c r="C364" s="442">
        <v>75834797.79</v>
      </c>
      <c r="D364" s="442">
        <v>3241024.59</v>
      </c>
      <c r="E364" s="442">
        <v>13178007.23</v>
      </c>
      <c r="F364" s="444">
        <v>65897815.15</v>
      </c>
      <c r="G364" s="209">
        <f t="shared" si="10"/>
        <v>-9936982.640000008</v>
      </c>
      <c r="J364">
        <f>VLOOKUP(A364,'BCE DIC 2019'!$A$1:$F$396,6,0)</f>
        <v>64111325.18</v>
      </c>
      <c r="K364">
        <f t="shared" si="11"/>
        <v>1786489.9699999988</v>
      </c>
    </row>
    <row r="365" spans="1:11" ht="12.75">
      <c r="A365" s="441">
        <v>511518</v>
      </c>
      <c r="B365" s="441" t="s">
        <v>299</v>
      </c>
      <c r="C365" s="442">
        <v>17370665</v>
      </c>
      <c r="D365" s="442">
        <v>1787736</v>
      </c>
      <c r="E365" s="442">
        <v>7975719</v>
      </c>
      <c r="F365" s="444">
        <v>11182682</v>
      </c>
      <c r="G365" s="209">
        <f t="shared" si="10"/>
        <v>-6187983</v>
      </c>
      <c r="J365" t="e">
        <f>VLOOKUP(A365,'BCE DIC 2019'!$A$1:$F$396,6,0)</f>
        <v>#N/A</v>
      </c>
      <c r="K365" t="e">
        <f t="shared" si="11"/>
        <v>#N/A</v>
      </c>
    </row>
    <row r="366" spans="1:11" ht="12.75">
      <c r="A366" s="441">
        <v>51151801</v>
      </c>
      <c r="B366" s="441" t="s">
        <v>751</v>
      </c>
      <c r="C366" s="442">
        <v>17370665</v>
      </c>
      <c r="D366" s="442">
        <v>1787736</v>
      </c>
      <c r="E366" s="442">
        <v>7975719</v>
      </c>
      <c r="F366" s="444">
        <v>11182682</v>
      </c>
      <c r="G366" s="209">
        <f t="shared" si="10"/>
        <v>-6187983</v>
      </c>
      <c r="J366" t="e">
        <f>VLOOKUP(A366,'BCE DIC 2019'!$A$1:$F$396,6,0)</f>
        <v>#N/A</v>
      </c>
      <c r="K366" t="e">
        <f t="shared" si="11"/>
        <v>#N/A</v>
      </c>
    </row>
    <row r="367" spans="1:11" ht="12.75">
      <c r="A367" s="441">
        <v>511529</v>
      </c>
      <c r="B367" s="441" t="s">
        <v>332</v>
      </c>
      <c r="C367" s="442">
        <v>13118726</v>
      </c>
      <c r="D367" s="442">
        <v>984409</v>
      </c>
      <c r="E367" s="442">
        <v>0</v>
      </c>
      <c r="F367" s="444">
        <v>14103135</v>
      </c>
      <c r="G367" s="209">
        <f t="shared" si="10"/>
        <v>984409</v>
      </c>
      <c r="J367">
        <f>VLOOKUP(A367,'BCE DIC 2019'!$A$1:$F$396,6,0)</f>
        <v>-323317</v>
      </c>
      <c r="K367">
        <f t="shared" si="11"/>
        <v>14426452</v>
      </c>
    </row>
    <row r="368" spans="1:11" ht="12.75">
      <c r="A368" s="441">
        <v>51152401</v>
      </c>
      <c r="B368" s="441" t="s">
        <v>546</v>
      </c>
      <c r="C368" s="442">
        <v>13118726</v>
      </c>
      <c r="D368" s="442">
        <v>984409</v>
      </c>
      <c r="E368" s="442">
        <v>0</v>
      </c>
      <c r="F368" s="444">
        <v>14103135</v>
      </c>
      <c r="G368" s="209">
        <f t="shared" si="10"/>
        <v>984409</v>
      </c>
      <c r="J368">
        <f>VLOOKUP(A368,'BCE DIC 2019'!$A$1:$F$396,6,0)</f>
        <v>-323317</v>
      </c>
      <c r="K368">
        <f t="shared" si="11"/>
        <v>14426452</v>
      </c>
    </row>
    <row r="369" spans="1:11" ht="12.75">
      <c r="A369" s="441">
        <v>511548</v>
      </c>
      <c r="B369" s="441" t="s">
        <v>605</v>
      </c>
      <c r="C369" s="442">
        <v>5273962</v>
      </c>
      <c r="D369" s="442">
        <v>0</v>
      </c>
      <c r="E369" s="442">
        <v>0</v>
      </c>
      <c r="F369" s="444">
        <v>5273962</v>
      </c>
      <c r="G369" s="209">
        <f t="shared" si="10"/>
        <v>0</v>
      </c>
      <c r="J369" t="e">
        <f>VLOOKUP(A369,'BCE DIC 2019'!$A$1:$F$396,6,0)</f>
        <v>#N/A</v>
      </c>
      <c r="K369" t="e">
        <f t="shared" si="11"/>
        <v>#N/A</v>
      </c>
    </row>
    <row r="370" spans="1:11" ht="12.75">
      <c r="A370" s="441">
        <v>51156501</v>
      </c>
      <c r="B370" s="441" t="s">
        <v>547</v>
      </c>
      <c r="C370" s="442">
        <v>5273962</v>
      </c>
      <c r="D370" s="442">
        <v>0</v>
      </c>
      <c r="E370" s="442">
        <v>0</v>
      </c>
      <c r="F370" s="444">
        <v>5273962</v>
      </c>
      <c r="G370" s="209">
        <f t="shared" si="10"/>
        <v>0</v>
      </c>
      <c r="J370">
        <f>VLOOKUP(A370,'BCE DIC 2019'!$A$1:$F$396,6,0)</f>
        <v>40102729</v>
      </c>
      <c r="K370">
        <f t="shared" si="11"/>
        <v>-34828767</v>
      </c>
    </row>
    <row r="371" spans="1:11" ht="12.75">
      <c r="A371" s="441">
        <v>5125</v>
      </c>
      <c r="B371" s="441" t="s">
        <v>551</v>
      </c>
      <c r="C371" s="442">
        <v>11185985.07</v>
      </c>
      <c r="D371" s="442">
        <v>884134.61</v>
      </c>
      <c r="E371" s="442">
        <v>0</v>
      </c>
      <c r="F371" s="444">
        <v>12070119.68</v>
      </c>
      <c r="G371" s="209">
        <f t="shared" si="10"/>
        <v>884134.6099999994</v>
      </c>
      <c r="J371">
        <f>VLOOKUP(A371,'BCE DIC 2019'!$A$1:$F$396,6,0)</f>
        <v>20271777.86</v>
      </c>
      <c r="K371">
        <f t="shared" si="11"/>
        <v>-8201658.18</v>
      </c>
    </row>
    <row r="372" spans="1:11" ht="12.75">
      <c r="A372" s="441">
        <v>512505</v>
      </c>
      <c r="B372" s="441" t="s">
        <v>352</v>
      </c>
      <c r="C372" s="442">
        <v>5816761.17</v>
      </c>
      <c r="D372" s="442">
        <v>528796.47</v>
      </c>
      <c r="E372" s="442">
        <v>0</v>
      </c>
      <c r="F372" s="444">
        <v>6345557.64</v>
      </c>
      <c r="G372" s="209">
        <f t="shared" si="10"/>
        <v>528796.4699999997</v>
      </c>
      <c r="J372">
        <f>VLOOKUP(A372,'BCE DIC 2019'!$A$1:$F$396,6,0)</f>
        <v>6345557.64</v>
      </c>
      <c r="K372">
        <f t="shared" si="11"/>
        <v>0</v>
      </c>
    </row>
    <row r="373" spans="1:11" ht="12.75">
      <c r="A373" s="441">
        <v>51251501</v>
      </c>
      <c r="B373" s="441" t="s">
        <v>39</v>
      </c>
      <c r="C373" s="442">
        <v>5816761.17</v>
      </c>
      <c r="D373" s="442">
        <v>528796.47</v>
      </c>
      <c r="E373" s="442">
        <v>0</v>
      </c>
      <c r="F373" s="444">
        <v>6345557.64</v>
      </c>
      <c r="G373" s="209">
        <f t="shared" si="10"/>
        <v>528796.4699999997</v>
      </c>
      <c r="J373">
        <f>VLOOKUP(A373,'BCE DIC 2019'!$A$1:$F$396,6,0)</f>
        <v>6345557.64</v>
      </c>
      <c r="K373">
        <f t="shared" si="11"/>
        <v>0</v>
      </c>
    </row>
    <row r="374" spans="1:11" ht="12.75">
      <c r="A374" s="441">
        <v>512510</v>
      </c>
      <c r="B374" s="441" t="s">
        <v>354</v>
      </c>
      <c r="C374" s="442">
        <v>1889959.02</v>
      </c>
      <c r="D374" s="442">
        <v>53554.28</v>
      </c>
      <c r="E374" s="442">
        <v>0</v>
      </c>
      <c r="F374" s="444">
        <v>1943513.3</v>
      </c>
      <c r="G374" s="209">
        <f t="shared" si="10"/>
        <v>53554.28000000003</v>
      </c>
      <c r="J374">
        <f>VLOOKUP(A374,'BCE DIC 2019'!$A$1:$F$396,6,0)</f>
        <v>2803626.2</v>
      </c>
      <c r="K374">
        <f t="shared" si="11"/>
        <v>-860112.9000000001</v>
      </c>
    </row>
    <row r="375" spans="1:11" ht="12.75">
      <c r="A375" s="441">
        <v>51252001</v>
      </c>
      <c r="B375" s="441" t="s">
        <v>552</v>
      </c>
      <c r="C375" s="442">
        <v>1889959.02</v>
      </c>
      <c r="D375" s="442">
        <v>53554.28</v>
      </c>
      <c r="E375" s="442">
        <v>0</v>
      </c>
      <c r="F375" s="444">
        <v>1943513.3</v>
      </c>
      <c r="G375" s="209">
        <f t="shared" si="10"/>
        <v>53554.28000000003</v>
      </c>
      <c r="J375">
        <f>VLOOKUP(A375,'BCE DIC 2019'!$A$1:$F$396,6,0)</f>
        <v>2803626.2</v>
      </c>
      <c r="K375">
        <f t="shared" si="11"/>
        <v>-860112.9000000001</v>
      </c>
    </row>
    <row r="376" spans="1:11" ht="12.75">
      <c r="A376" s="441">
        <v>512515</v>
      </c>
      <c r="B376" s="441" t="s">
        <v>357</v>
      </c>
      <c r="C376" s="442">
        <v>3479264.88</v>
      </c>
      <c r="D376" s="442">
        <v>301783.86</v>
      </c>
      <c r="E376" s="442">
        <v>0</v>
      </c>
      <c r="F376" s="444">
        <v>3781048.74</v>
      </c>
      <c r="G376" s="209">
        <f t="shared" si="10"/>
        <v>301783.86000000034</v>
      </c>
      <c r="J376">
        <f>VLOOKUP(A376,'BCE DIC 2019'!$A$1:$F$396,6,0)</f>
        <v>11122594.02</v>
      </c>
      <c r="K376">
        <f t="shared" si="11"/>
        <v>-7341545.279999999</v>
      </c>
    </row>
    <row r="377" spans="1:11" ht="12.75">
      <c r="A377" s="441">
        <v>51252501</v>
      </c>
      <c r="B377" s="441" t="s">
        <v>553</v>
      </c>
      <c r="C377" s="442">
        <v>3479264.88</v>
      </c>
      <c r="D377" s="442">
        <v>301783.86</v>
      </c>
      <c r="E377" s="442">
        <v>0</v>
      </c>
      <c r="F377" s="444">
        <v>3781048.74</v>
      </c>
      <c r="G377" s="209">
        <f t="shared" si="10"/>
        <v>301783.86000000034</v>
      </c>
      <c r="J377">
        <f>VLOOKUP(A377,'BCE DIC 2019'!$A$1:$F$396,6,0)</f>
        <v>11122594.02</v>
      </c>
      <c r="K377">
        <f t="shared" si="11"/>
        <v>-7341545.279999999</v>
      </c>
    </row>
    <row r="378" spans="1:11" ht="12.75">
      <c r="A378" s="441">
        <v>5200</v>
      </c>
      <c r="B378" s="441" t="s">
        <v>554</v>
      </c>
      <c r="C378" s="442">
        <v>23162746.66</v>
      </c>
      <c r="D378" s="442">
        <v>2789754.9</v>
      </c>
      <c r="E378" s="442">
        <v>0</v>
      </c>
      <c r="F378" s="444">
        <v>25952501.56</v>
      </c>
      <c r="G378" s="209">
        <f t="shared" si="10"/>
        <v>2789754.8999999985</v>
      </c>
      <c r="J378">
        <f>VLOOKUP(A378,'BCE DIC 2019'!$A$1:$F$396,6,0)</f>
        <v>19820508.84</v>
      </c>
      <c r="K378">
        <f t="shared" si="11"/>
        <v>6131992.719999999</v>
      </c>
    </row>
    <row r="379" spans="1:11" ht="12.75">
      <c r="A379" s="441">
        <v>5210</v>
      </c>
      <c r="B379" s="441" t="s">
        <v>555</v>
      </c>
      <c r="C379" s="442">
        <v>23124865.66</v>
      </c>
      <c r="D379" s="442">
        <v>2713767.9</v>
      </c>
      <c r="E379" s="442">
        <v>0</v>
      </c>
      <c r="F379" s="444">
        <v>25838633.56</v>
      </c>
      <c r="G379" s="209">
        <f t="shared" si="10"/>
        <v>2713767.8999999985</v>
      </c>
      <c r="J379">
        <v>0</v>
      </c>
      <c r="K379">
        <f t="shared" si="11"/>
        <v>25838633.56</v>
      </c>
    </row>
    <row r="380" spans="1:11" ht="12.75">
      <c r="A380" s="441">
        <v>521005</v>
      </c>
      <c r="B380" s="441" t="s">
        <v>556</v>
      </c>
      <c r="C380" s="442">
        <v>21994673.66</v>
      </c>
      <c r="D380" s="442">
        <v>2585646.9</v>
      </c>
      <c r="E380" s="442">
        <v>0</v>
      </c>
      <c r="F380" s="444">
        <v>24580320.56</v>
      </c>
      <c r="G380" s="209">
        <f t="shared" si="10"/>
        <v>2585646.8999999985</v>
      </c>
      <c r="J380">
        <v>0</v>
      </c>
      <c r="K380">
        <f t="shared" si="11"/>
        <v>24580320.56</v>
      </c>
    </row>
    <row r="381" spans="1:11" ht="12.75">
      <c r="A381" s="441">
        <v>51400501</v>
      </c>
      <c r="B381" s="441" t="s">
        <v>824</v>
      </c>
      <c r="C381" s="442">
        <v>16500018.66</v>
      </c>
      <c r="D381" s="442">
        <v>1090177.9</v>
      </c>
      <c r="E381" s="442">
        <v>0</v>
      </c>
      <c r="F381" s="444">
        <v>17590196.56</v>
      </c>
      <c r="G381" s="209">
        <f t="shared" si="10"/>
        <v>1090177.8999999985</v>
      </c>
      <c r="J381">
        <f>VLOOKUP(A381,'BCE DIC 2019'!$A$1:$F$396,6,0)</f>
        <v>1263556</v>
      </c>
      <c r="K381">
        <f t="shared" si="11"/>
        <v>16326640.559999999</v>
      </c>
    </row>
    <row r="382" spans="1:11" ht="12.75">
      <c r="A382" s="441">
        <v>51400502</v>
      </c>
      <c r="B382" s="441" t="s">
        <v>825</v>
      </c>
      <c r="C382" s="442">
        <v>2529189</v>
      </c>
      <c r="D382" s="442">
        <v>1277380</v>
      </c>
      <c r="E382" s="442">
        <v>0</v>
      </c>
      <c r="F382" s="444">
        <v>3806569</v>
      </c>
      <c r="G382" s="209">
        <f t="shared" si="10"/>
        <v>1277380</v>
      </c>
      <c r="J382" t="e">
        <f>VLOOKUP(A382,'BCE DIC 2019'!$A$1:$F$396,6,0)</f>
        <v>#N/A</v>
      </c>
      <c r="K382" t="e">
        <f t="shared" si="11"/>
        <v>#N/A</v>
      </c>
    </row>
    <row r="383" spans="1:11" ht="12.75">
      <c r="A383" s="441">
        <v>51400503</v>
      </c>
      <c r="B383" s="441" t="s">
        <v>753</v>
      </c>
      <c r="C383" s="442">
        <v>2965466</v>
      </c>
      <c r="D383" s="442">
        <v>218089</v>
      </c>
      <c r="E383" s="442">
        <v>0</v>
      </c>
      <c r="F383" s="444">
        <v>3183555</v>
      </c>
      <c r="G383" s="209">
        <f t="shared" si="10"/>
        <v>218089</v>
      </c>
      <c r="J383" t="e">
        <f>VLOOKUP(A383,'BCE DIC 2019'!$A$1:$F$396,6,0)</f>
        <v>#N/A</v>
      </c>
      <c r="K383" t="e">
        <f t="shared" si="11"/>
        <v>#N/A</v>
      </c>
    </row>
    <row r="384" spans="1:11" ht="12.75">
      <c r="A384" s="441">
        <v>521020</v>
      </c>
      <c r="B384" s="441" t="s">
        <v>560</v>
      </c>
      <c r="C384" s="442">
        <v>1130192</v>
      </c>
      <c r="D384" s="442">
        <v>128121</v>
      </c>
      <c r="E384" s="442">
        <v>0</v>
      </c>
      <c r="F384" s="444">
        <v>1258313</v>
      </c>
      <c r="G384" s="209">
        <f t="shared" si="10"/>
        <v>128121</v>
      </c>
      <c r="J384">
        <f>VLOOKUP(A384,'BCE DIC 2019'!$A$1:$F$396,6,0)</f>
        <v>14726836.18</v>
      </c>
      <c r="K384">
        <f t="shared" si="11"/>
        <v>-13468523.18</v>
      </c>
    </row>
    <row r="385" spans="1:11" ht="12.75">
      <c r="A385" s="441">
        <v>51402001</v>
      </c>
      <c r="B385" s="441" t="s">
        <v>562</v>
      </c>
      <c r="C385" s="442">
        <v>1130192</v>
      </c>
      <c r="D385" s="442">
        <v>128121</v>
      </c>
      <c r="E385" s="442">
        <v>0</v>
      </c>
      <c r="F385" s="444">
        <v>1258313</v>
      </c>
      <c r="G385" s="209">
        <f t="shared" si="10"/>
        <v>128121</v>
      </c>
      <c r="J385">
        <f>VLOOKUP(A385,'BCE DIC 2019'!$A$1:$F$396,6,0)</f>
        <v>28194</v>
      </c>
      <c r="K385">
        <f t="shared" si="11"/>
        <v>1230119</v>
      </c>
    </row>
    <row r="386" spans="1:11" ht="12.75">
      <c r="A386" s="441">
        <v>5230</v>
      </c>
      <c r="B386" s="441" t="s">
        <v>563</v>
      </c>
      <c r="C386" s="442">
        <v>37881</v>
      </c>
      <c r="D386" s="442">
        <v>75987</v>
      </c>
      <c r="E386" s="442">
        <v>0</v>
      </c>
      <c r="F386" s="444">
        <v>113868</v>
      </c>
      <c r="G386" s="209">
        <f t="shared" si="10"/>
        <v>75987</v>
      </c>
      <c r="J386">
        <f>VLOOKUP(A386,'BCE DIC 2019'!$A$1:$F$396,6,0)</f>
        <v>309871</v>
      </c>
      <c r="K386">
        <f t="shared" si="11"/>
        <v>-196003</v>
      </c>
    </row>
    <row r="387" spans="1:11" ht="12.75">
      <c r="A387" s="441">
        <v>523050</v>
      </c>
      <c r="B387" s="441" t="s">
        <v>826</v>
      </c>
      <c r="C387" s="442">
        <v>37881</v>
      </c>
      <c r="D387" s="442">
        <v>75987</v>
      </c>
      <c r="E387" s="442">
        <v>0</v>
      </c>
      <c r="F387" s="444">
        <v>113868</v>
      </c>
      <c r="G387" s="209">
        <f aca="true" t="shared" si="12" ref="G387:G428">+F387-C387</f>
        <v>75987</v>
      </c>
      <c r="J387" t="e">
        <f>VLOOKUP(A387,'BCE DIC 2019'!$A$1:$F$396,6,0)</f>
        <v>#N/A</v>
      </c>
      <c r="K387" t="e">
        <f aca="true" t="shared" si="13" ref="K387:K428">+F387-J387</f>
        <v>#N/A</v>
      </c>
    </row>
    <row r="388" spans="1:11" ht="12.75">
      <c r="A388" s="441">
        <v>53152001</v>
      </c>
      <c r="B388" s="441" t="s">
        <v>827</v>
      </c>
      <c r="C388" s="442">
        <v>37881</v>
      </c>
      <c r="D388" s="442">
        <v>75987</v>
      </c>
      <c r="E388" s="442">
        <v>0</v>
      </c>
      <c r="F388" s="444">
        <v>113868</v>
      </c>
      <c r="G388" s="209">
        <f t="shared" si="12"/>
        <v>75987</v>
      </c>
      <c r="J388" t="e">
        <f>VLOOKUP(A388,'BCE DIC 2019'!$A$1:$F$396,6,0)</f>
        <v>#N/A</v>
      </c>
      <c r="K388" t="e">
        <f t="shared" si="13"/>
        <v>#N/A</v>
      </c>
    </row>
    <row r="389" spans="1:11" ht="12.75">
      <c r="A389" s="441">
        <v>8000</v>
      </c>
      <c r="B389" s="441" t="s">
        <v>564</v>
      </c>
      <c r="C389" s="442">
        <v>0</v>
      </c>
      <c r="D389" s="442">
        <v>5258785</v>
      </c>
      <c r="E389" s="442">
        <v>5258785</v>
      </c>
      <c r="F389" s="444">
        <v>0</v>
      </c>
      <c r="G389" s="209">
        <f t="shared" si="12"/>
        <v>0</v>
      </c>
      <c r="J389">
        <f>VLOOKUP(A389,'BCE DIC 2019'!$A$1:$F$396,6,0)</f>
        <v>0</v>
      </c>
      <c r="K389">
        <f t="shared" si="13"/>
        <v>0</v>
      </c>
    </row>
    <row r="390" spans="1:11" ht="12.75">
      <c r="A390" s="441">
        <v>8100</v>
      </c>
      <c r="B390" s="441" t="s">
        <v>565</v>
      </c>
      <c r="C390" s="442">
        <v>17771373</v>
      </c>
      <c r="D390" s="442">
        <v>3030591</v>
      </c>
      <c r="E390" s="442">
        <v>2228194</v>
      </c>
      <c r="F390" s="444">
        <v>18573770</v>
      </c>
      <c r="G390" s="209">
        <f t="shared" si="12"/>
        <v>802397</v>
      </c>
      <c r="J390">
        <f>VLOOKUP(A390,'BCE DIC 2019'!$A$1:$F$396,6,0)</f>
        <v>29823624</v>
      </c>
      <c r="K390">
        <f t="shared" si="13"/>
        <v>-11249854</v>
      </c>
    </row>
    <row r="391" spans="1:11" ht="12.75">
      <c r="A391" s="441">
        <v>8115</v>
      </c>
      <c r="B391" s="441" t="s">
        <v>566</v>
      </c>
      <c r="C391" s="442">
        <v>17771373</v>
      </c>
      <c r="D391" s="442">
        <v>3030591</v>
      </c>
      <c r="E391" s="442">
        <v>2228194</v>
      </c>
      <c r="F391" s="444">
        <v>18573770</v>
      </c>
      <c r="G391" s="209">
        <f t="shared" si="12"/>
        <v>802397</v>
      </c>
      <c r="J391">
        <f>VLOOKUP(A391,'BCE DIC 2019'!$A$1:$F$396,6,0)</f>
        <v>29823624</v>
      </c>
      <c r="K391">
        <f t="shared" si="13"/>
        <v>-11249854</v>
      </c>
    </row>
    <row r="392" spans="1:11" ht="12.75">
      <c r="A392" s="441">
        <v>811545</v>
      </c>
      <c r="B392" s="441" t="s">
        <v>569</v>
      </c>
      <c r="C392" s="442">
        <v>2577495</v>
      </c>
      <c r="D392" s="442">
        <v>941281</v>
      </c>
      <c r="E392" s="442">
        <v>725328</v>
      </c>
      <c r="F392" s="444">
        <v>2793448</v>
      </c>
      <c r="G392" s="209">
        <f t="shared" si="12"/>
        <v>215953</v>
      </c>
      <c r="J392">
        <f>VLOOKUP(A392,'BCE DIC 2019'!$A$1:$F$396,6,0)</f>
        <v>5269110</v>
      </c>
      <c r="K392">
        <f t="shared" si="13"/>
        <v>-2475662</v>
      </c>
    </row>
    <row r="393" spans="1:11" ht="12.75">
      <c r="A393" s="441">
        <v>81202801</v>
      </c>
      <c r="B393" s="441" t="s">
        <v>570</v>
      </c>
      <c r="C393" s="442">
        <v>2305082</v>
      </c>
      <c r="D393" s="442">
        <v>778637</v>
      </c>
      <c r="E393" s="442">
        <v>573394</v>
      </c>
      <c r="F393" s="444">
        <v>2510325</v>
      </c>
      <c r="G393" s="209">
        <f t="shared" si="12"/>
        <v>205243</v>
      </c>
      <c r="J393">
        <f>VLOOKUP(A393,'BCE DIC 2019'!$A$1:$F$396,6,0)</f>
        <v>4983887</v>
      </c>
      <c r="K393">
        <f t="shared" si="13"/>
        <v>-2473562</v>
      </c>
    </row>
    <row r="394" spans="1:11" ht="12.75">
      <c r="A394" s="441">
        <v>81202802</v>
      </c>
      <c r="B394" s="441" t="s">
        <v>571</v>
      </c>
      <c r="C394" s="442">
        <v>272413</v>
      </c>
      <c r="D394" s="442">
        <v>162644</v>
      </c>
      <c r="E394" s="442">
        <v>151934</v>
      </c>
      <c r="F394" s="444">
        <v>283123</v>
      </c>
      <c r="G394" s="209">
        <f t="shared" si="12"/>
        <v>10710</v>
      </c>
      <c r="J394">
        <f>VLOOKUP(A394,'BCE DIC 2019'!$A$1:$F$396,6,0)</f>
        <v>285223</v>
      </c>
      <c r="K394">
        <f t="shared" si="13"/>
        <v>-2100</v>
      </c>
    </row>
    <row r="395" spans="1:11" ht="12.75">
      <c r="A395" s="441">
        <v>811550</v>
      </c>
      <c r="B395" s="441" t="s">
        <v>572</v>
      </c>
      <c r="C395" s="442">
        <v>15193878</v>
      </c>
      <c r="D395" s="442">
        <v>2089310</v>
      </c>
      <c r="E395" s="442">
        <v>1502866</v>
      </c>
      <c r="F395" s="444">
        <v>15780322</v>
      </c>
      <c r="G395" s="209">
        <f t="shared" si="12"/>
        <v>586444</v>
      </c>
      <c r="J395">
        <f>VLOOKUP(A395,'BCE DIC 2019'!$A$1:$F$396,6,0)</f>
        <v>24022053</v>
      </c>
      <c r="K395">
        <f t="shared" si="13"/>
        <v>-8241731</v>
      </c>
    </row>
    <row r="396" spans="1:11" ht="12.75">
      <c r="A396" s="441">
        <v>81203001</v>
      </c>
      <c r="B396" s="441" t="s">
        <v>573</v>
      </c>
      <c r="C396" s="442">
        <v>11866752</v>
      </c>
      <c r="D396" s="442">
        <v>1512125</v>
      </c>
      <c r="E396" s="442">
        <v>1305887</v>
      </c>
      <c r="F396" s="444">
        <v>12072990</v>
      </c>
      <c r="G396" s="209">
        <f t="shared" si="12"/>
        <v>206238</v>
      </c>
      <c r="J396">
        <f>VLOOKUP(A396,'BCE DIC 2019'!$A$1:$F$396,6,0)</f>
        <v>18604283</v>
      </c>
      <c r="K396">
        <f t="shared" si="13"/>
        <v>-6531293</v>
      </c>
    </row>
    <row r="397" spans="1:11" ht="12.75">
      <c r="A397" s="441">
        <v>81203002</v>
      </c>
      <c r="B397" s="441" t="s">
        <v>574</v>
      </c>
      <c r="C397" s="442">
        <v>3327126</v>
      </c>
      <c r="D397" s="442">
        <v>577185</v>
      </c>
      <c r="E397" s="442">
        <v>196979</v>
      </c>
      <c r="F397" s="444">
        <v>3707332</v>
      </c>
      <c r="G397" s="209">
        <f t="shared" si="12"/>
        <v>380206</v>
      </c>
      <c r="J397">
        <f>VLOOKUP(A397,'BCE DIC 2019'!$A$1:$F$396,6,0)</f>
        <v>5417770</v>
      </c>
      <c r="K397">
        <f t="shared" si="13"/>
        <v>-1710438</v>
      </c>
    </row>
    <row r="398" spans="1:11" ht="12.75">
      <c r="A398" s="441">
        <v>8300</v>
      </c>
      <c r="B398" s="441" t="s">
        <v>575</v>
      </c>
      <c r="C398" s="442">
        <v>255631120.09</v>
      </c>
      <c r="D398" s="442">
        <v>0</v>
      </c>
      <c r="E398" s="442">
        <v>0</v>
      </c>
      <c r="F398" s="444">
        <v>255631120.09</v>
      </c>
      <c r="G398" s="209">
        <f t="shared" si="12"/>
        <v>0</v>
      </c>
      <c r="J398">
        <f>VLOOKUP(A398,'BCE DIC 2019'!$A$1:$F$396,6,0)</f>
        <v>214548253.09</v>
      </c>
      <c r="K398">
        <f t="shared" si="13"/>
        <v>41082867</v>
      </c>
    </row>
    <row r="399" spans="1:11" ht="12.75">
      <c r="A399" s="441">
        <v>8310</v>
      </c>
      <c r="B399" s="441" t="s">
        <v>576</v>
      </c>
      <c r="C399" s="442">
        <v>97220906.14</v>
      </c>
      <c r="D399" s="442">
        <v>0</v>
      </c>
      <c r="E399" s="442">
        <v>0</v>
      </c>
      <c r="F399" s="444">
        <v>97220906.14</v>
      </c>
      <c r="G399" s="209">
        <f t="shared" si="12"/>
        <v>0</v>
      </c>
      <c r="J399">
        <f>VLOOKUP(A399,'BCE DIC 2019'!$A$1:$F$396,6,0)</f>
        <v>56138039.14</v>
      </c>
      <c r="K399">
        <f t="shared" si="13"/>
        <v>41082867</v>
      </c>
    </row>
    <row r="400" spans="1:11" ht="12.75">
      <c r="A400" s="441">
        <v>831005</v>
      </c>
      <c r="B400" s="441" t="s">
        <v>31</v>
      </c>
      <c r="C400" s="442">
        <v>15562674.14</v>
      </c>
      <c r="D400" s="442">
        <v>0</v>
      </c>
      <c r="E400" s="442">
        <v>0</v>
      </c>
      <c r="F400" s="444">
        <v>15562674.14</v>
      </c>
      <c r="G400" s="209">
        <f t="shared" si="12"/>
        <v>0</v>
      </c>
      <c r="J400">
        <f>VLOOKUP(A400,'BCE DIC 2019'!$A$1:$F$396,6,0)</f>
        <v>15562674.14</v>
      </c>
      <c r="K400">
        <f t="shared" si="13"/>
        <v>0</v>
      </c>
    </row>
    <row r="401" spans="1:11" ht="12.75">
      <c r="A401" s="441">
        <v>83100501</v>
      </c>
      <c r="B401" s="441" t="s">
        <v>577</v>
      </c>
      <c r="C401" s="442">
        <v>14587523.1</v>
      </c>
      <c r="D401" s="442">
        <v>0</v>
      </c>
      <c r="E401" s="442">
        <v>0</v>
      </c>
      <c r="F401" s="444">
        <v>14587523.1</v>
      </c>
      <c r="G401" s="209">
        <f t="shared" si="12"/>
        <v>0</v>
      </c>
      <c r="J401">
        <f>VLOOKUP(A401,'BCE DIC 2019'!$A$1:$F$396,6,0)</f>
        <v>14587523.1</v>
      </c>
      <c r="K401">
        <f t="shared" si="13"/>
        <v>0</v>
      </c>
    </row>
    <row r="402" spans="1:11" ht="12.75">
      <c r="A402" s="441">
        <v>83100502</v>
      </c>
      <c r="B402" s="441" t="s">
        <v>578</v>
      </c>
      <c r="C402" s="442">
        <v>975151.04</v>
      </c>
      <c r="D402" s="442">
        <v>0</v>
      </c>
      <c r="E402" s="442">
        <v>0</v>
      </c>
      <c r="F402" s="444">
        <v>975151.04</v>
      </c>
      <c r="G402" s="209">
        <f t="shared" si="12"/>
        <v>0</v>
      </c>
      <c r="J402">
        <f>VLOOKUP(A402,'BCE DIC 2019'!$A$1:$F$396,6,0)</f>
        <v>975151.04</v>
      </c>
      <c r="K402">
        <f t="shared" si="13"/>
        <v>0</v>
      </c>
    </row>
    <row r="403" spans="1:11" ht="12.75">
      <c r="A403" s="441">
        <v>831015</v>
      </c>
      <c r="B403" s="441" t="s">
        <v>579</v>
      </c>
      <c r="C403" s="442">
        <v>81658232</v>
      </c>
      <c r="D403" s="442">
        <v>0</v>
      </c>
      <c r="E403" s="442">
        <v>0</v>
      </c>
      <c r="F403" s="444">
        <v>81658232</v>
      </c>
      <c r="G403" s="209">
        <f t="shared" si="12"/>
        <v>0</v>
      </c>
      <c r="J403">
        <f>VLOOKUP(A403,'BCE DIC 2019'!$A$1:$F$396,6,0)</f>
        <v>40575365</v>
      </c>
      <c r="K403">
        <f t="shared" si="13"/>
        <v>41082867</v>
      </c>
    </row>
    <row r="404" spans="1:11" ht="12.75">
      <c r="A404" s="441">
        <v>83101501</v>
      </c>
      <c r="B404" s="441" t="s">
        <v>580</v>
      </c>
      <c r="C404" s="442">
        <v>67361522</v>
      </c>
      <c r="D404" s="442">
        <v>0</v>
      </c>
      <c r="E404" s="442">
        <v>0</v>
      </c>
      <c r="F404" s="444">
        <v>67361522</v>
      </c>
      <c r="G404" s="209">
        <f t="shared" si="12"/>
        <v>0</v>
      </c>
      <c r="J404">
        <f>VLOOKUP(A404,'BCE DIC 2019'!$A$1:$F$396,6,0)</f>
        <v>38997330</v>
      </c>
      <c r="K404">
        <f t="shared" si="13"/>
        <v>28364192</v>
      </c>
    </row>
    <row r="405" spans="1:11" ht="12.75">
      <c r="A405" s="441">
        <v>83102501</v>
      </c>
      <c r="B405" s="441" t="s">
        <v>581</v>
      </c>
      <c r="C405" s="442">
        <v>8064477</v>
      </c>
      <c r="D405" s="442">
        <v>0</v>
      </c>
      <c r="E405" s="442">
        <v>0</v>
      </c>
      <c r="F405" s="444">
        <v>8064477</v>
      </c>
      <c r="G405" s="209">
        <f t="shared" si="12"/>
        <v>0</v>
      </c>
      <c r="J405">
        <f>VLOOKUP(A405,'BCE DIC 2019'!$A$1:$F$396,6,0)</f>
        <v>196451</v>
      </c>
      <c r="K405">
        <f t="shared" si="13"/>
        <v>7868026</v>
      </c>
    </row>
    <row r="406" spans="1:11" ht="12.75">
      <c r="A406" s="441">
        <v>83102502</v>
      </c>
      <c r="B406" s="441" t="s">
        <v>582</v>
      </c>
      <c r="C406" s="442">
        <v>6232233</v>
      </c>
      <c r="D406" s="442">
        <v>0</v>
      </c>
      <c r="E406" s="442">
        <v>0</v>
      </c>
      <c r="F406" s="444">
        <v>6232233</v>
      </c>
      <c r="G406" s="209">
        <f t="shared" si="12"/>
        <v>0</v>
      </c>
      <c r="J406">
        <f>VLOOKUP(A406,'BCE DIC 2019'!$A$1:$F$396,6,0)</f>
        <v>1381584</v>
      </c>
      <c r="K406">
        <f t="shared" si="13"/>
        <v>4850649</v>
      </c>
    </row>
    <row r="407" spans="1:11" ht="12.75">
      <c r="A407" s="441">
        <v>8320</v>
      </c>
      <c r="B407" s="441" t="s">
        <v>583</v>
      </c>
      <c r="C407" s="442">
        <v>158410213.95</v>
      </c>
      <c r="D407" s="442">
        <v>0</v>
      </c>
      <c r="E407" s="442">
        <v>0</v>
      </c>
      <c r="F407" s="444">
        <v>158410213.95</v>
      </c>
      <c r="G407" s="209">
        <f t="shared" si="12"/>
        <v>0</v>
      </c>
      <c r="J407">
        <f>VLOOKUP(A407,'BCE DIC 2019'!$A$1:$F$396,6,0)</f>
        <v>158410213.95</v>
      </c>
      <c r="K407">
        <f t="shared" si="13"/>
        <v>0</v>
      </c>
    </row>
    <row r="408" spans="1:11" ht="12.75">
      <c r="A408" s="441">
        <v>83201001</v>
      </c>
      <c r="B408" s="441" t="s">
        <v>39</v>
      </c>
      <c r="C408" s="442">
        <v>17745986</v>
      </c>
      <c r="D408" s="442">
        <v>0</v>
      </c>
      <c r="E408" s="442">
        <v>0</v>
      </c>
      <c r="F408" s="444">
        <v>17745986</v>
      </c>
      <c r="G408" s="209">
        <f t="shared" si="12"/>
        <v>0</v>
      </c>
      <c r="J408">
        <f>VLOOKUP(A408,'BCE DIC 2019'!$A$1:$F$396,6,0)</f>
        <v>17745986</v>
      </c>
      <c r="K408">
        <f t="shared" si="13"/>
        <v>0</v>
      </c>
    </row>
    <row r="409" spans="1:11" ht="12.75">
      <c r="A409" s="441">
        <v>83201501</v>
      </c>
      <c r="B409" s="441" t="s">
        <v>584</v>
      </c>
      <c r="C409" s="442">
        <v>48869975</v>
      </c>
      <c r="D409" s="442">
        <v>0</v>
      </c>
      <c r="E409" s="442">
        <v>0</v>
      </c>
      <c r="F409" s="444">
        <v>48869975</v>
      </c>
      <c r="G409" s="209">
        <f t="shared" si="12"/>
        <v>0</v>
      </c>
      <c r="J409">
        <f>VLOOKUP(A409,'BCE DIC 2019'!$A$1:$F$396,6,0)</f>
        <v>48869975</v>
      </c>
      <c r="K409">
        <f t="shared" si="13"/>
        <v>0</v>
      </c>
    </row>
    <row r="410" spans="1:11" ht="12.75">
      <c r="A410" s="441">
        <v>83202001</v>
      </c>
      <c r="B410" s="441" t="s">
        <v>585</v>
      </c>
      <c r="C410" s="442">
        <v>91794252.95</v>
      </c>
      <c r="D410" s="442">
        <v>0</v>
      </c>
      <c r="E410" s="442">
        <v>0</v>
      </c>
      <c r="F410" s="444">
        <v>91794252.95</v>
      </c>
      <c r="G410" s="209">
        <f t="shared" si="12"/>
        <v>0</v>
      </c>
      <c r="J410">
        <f>VLOOKUP(A410,'BCE DIC 2019'!$A$1:$F$396,6,0)</f>
        <v>91794252.95</v>
      </c>
      <c r="K410">
        <f t="shared" si="13"/>
        <v>0</v>
      </c>
    </row>
    <row r="411" spans="1:11" ht="12.75">
      <c r="A411" s="441">
        <v>8600</v>
      </c>
      <c r="B411" s="441" t="s">
        <v>586</v>
      </c>
      <c r="C411" s="442">
        <v>-17771373</v>
      </c>
      <c r="D411" s="442">
        <v>2228194</v>
      </c>
      <c r="E411" s="442">
        <v>3030591</v>
      </c>
      <c r="F411" s="444">
        <v>-18573770</v>
      </c>
      <c r="G411" s="209">
        <f t="shared" si="12"/>
        <v>-802397</v>
      </c>
      <c r="J411">
        <f>VLOOKUP(A411,'BCE DIC 2019'!$A$1:$F$396,6,0)</f>
        <v>-70398989</v>
      </c>
      <c r="K411">
        <f t="shared" si="13"/>
        <v>51825219</v>
      </c>
    </row>
    <row r="412" spans="1:11" ht="12.75">
      <c r="A412" s="441">
        <v>86050101</v>
      </c>
      <c r="B412" s="441" t="s">
        <v>587</v>
      </c>
      <c r="C412" s="442">
        <v>-17771373</v>
      </c>
      <c r="D412" s="442">
        <v>2228194</v>
      </c>
      <c r="E412" s="442">
        <v>3030591</v>
      </c>
      <c r="F412" s="444">
        <v>-18573770</v>
      </c>
      <c r="G412" s="209">
        <f t="shared" si="12"/>
        <v>-802397</v>
      </c>
      <c r="J412">
        <f>VLOOKUP(A412,'BCE DIC 2019'!$A$1:$F$396,6,0)</f>
        <v>-29823624</v>
      </c>
      <c r="K412">
        <f t="shared" si="13"/>
        <v>11249854</v>
      </c>
    </row>
    <row r="413" spans="1:11" ht="12.75">
      <c r="A413" s="441">
        <v>8800</v>
      </c>
      <c r="B413" s="441" t="s">
        <v>589</v>
      </c>
      <c r="C413" s="442">
        <v>-255631120.09</v>
      </c>
      <c r="D413" s="442">
        <v>0</v>
      </c>
      <c r="E413" s="442">
        <v>0</v>
      </c>
      <c r="F413" s="444">
        <v>-255631120.09</v>
      </c>
      <c r="G413" s="209">
        <f t="shared" si="12"/>
        <v>0</v>
      </c>
      <c r="J413">
        <f>VLOOKUP(A413,'BCE DIC 2019'!$A$1:$F$396,6,0)</f>
        <v>-173972888.09</v>
      </c>
      <c r="K413">
        <f t="shared" si="13"/>
        <v>-81658232</v>
      </c>
    </row>
    <row r="414" spans="1:11" ht="12.75">
      <c r="A414" s="441">
        <v>88050101</v>
      </c>
      <c r="B414" s="441" t="s">
        <v>588</v>
      </c>
      <c r="C414" s="442">
        <v>-81658232</v>
      </c>
      <c r="D414" s="442">
        <v>0</v>
      </c>
      <c r="E414" s="442">
        <v>0</v>
      </c>
      <c r="F414" s="444">
        <v>-81658232</v>
      </c>
      <c r="G414" s="209">
        <f t="shared" si="12"/>
        <v>0</v>
      </c>
      <c r="J414">
        <f>VLOOKUP(A414,'BCE DIC 2019'!$A$1:$F$396,6,0)</f>
        <v>-40575365</v>
      </c>
      <c r="K414">
        <f t="shared" si="13"/>
        <v>-41082867</v>
      </c>
    </row>
    <row r="415" spans="1:11" ht="12.75">
      <c r="A415" s="441">
        <v>88050501</v>
      </c>
      <c r="B415" s="441" t="s">
        <v>590</v>
      </c>
      <c r="C415" s="442">
        <v>-17745986</v>
      </c>
      <c r="D415" s="442">
        <v>0</v>
      </c>
      <c r="E415" s="442">
        <v>0</v>
      </c>
      <c r="F415" s="444">
        <v>-17745986</v>
      </c>
      <c r="G415" s="209">
        <f t="shared" si="12"/>
        <v>0</v>
      </c>
      <c r="J415">
        <v>0</v>
      </c>
      <c r="K415">
        <f t="shared" si="13"/>
        <v>-17745986</v>
      </c>
    </row>
    <row r="416" spans="1:11" ht="12.75">
      <c r="A416" s="441">
        <v>88051001</v>
      </c>
      <c r="B416" s="441" t="s">
        <v>591</v>
      </c>
      <c r="C416" s="442">
        <v>-200000</v>
      </c>
      <c r="D416" s="442">
        <v>0</v>
      </c>
      <c r="E416" s="442">
        <v>0</v>
      </c>
      <c r="F416" s="444">
        <v>-200000</v>
      </c>
      <c r="G416" s="209">
        <f t="shared" si="12"/>
        <v>0</v>
      </c>
      <c r="J416">
        <f>VLOOKUP(A416,'BCE DIC 2019'!$A$1:$F$396,6,0)</f>
        <v>-200000</v>
      </c>
      <c r="K416">
        <f t="shared" si="13"/>
        <v>0</v>
      </c>
    </row>
    <row r="417" spans="1:11" ht="12.75">
      <c r="A417" s="441">
        <v>88051501</v>
      </c>
      <c r="B417" s="441" t="s">
        <v>592</v>
      </c>
      <c r="C417" s="442">
        <v>-48869975</v>
      </c>
      <c r="D417" s="442">
        <v>0</v>
      </c>
      <c r="E417" s="442">
        <v>0</v>
      </c>
      <c r="F417" s="444">
        <v>-48869975</v>
      </c>
      <c r="G417" s="209">
        <f t="shared" si="12"/>
        <v>0</v>
      </c>
      <c r="J417">
        <f>VLOOKUP(A417,'BCE DIC 2019'!$A$1:$F$396,6,0)</f>
        <v>-48869975</v>
      </c>
      <c r="K417">
        <f t="shared" si="13"/>
        <v>0</v>
      </c>
    </row>
    <row r="418" spans="1:11" ht="12.75">
      <c r="A418" s="441">
        <v>88052001</v>
      </c>
      <c r="B418" s="441" t="s">
        <v>593</v>
      </c>
      <c r="C418" s="442">
        <v>-91594252.95</v>
      </c>
      <c r="D418" s="442">
        <v>0</v>
      </c>
      <c r="E418" s="442">
        <v>0</v>
      </c>
      <c r="F418" s="444">
        <v>-91594252.95</v>
      </c>
      <c r="G418" s="209">
        <f t="shared" si="12"/>
        <v>0</v>
      </c>
      <c r="J418">
        <f>VLOOKUP(A418,'BCE DIC 2019'!$A$1:$F$396,6,0)</f>
        <v>-91594252.95</v>
      </c>
      <c r="K418">
        <f t="shared" si="13"/>
        <v>0</v>
      </c>
    </row>
    <row r="419" spans="1:11" ht="12.75">
      <c r="A419" s="441">
        <v>88052501</v>
      </c>
      <c r="B419" s="441" t="s">
        <v>577</v>
      </c>
      <c r="C419" s="442">
        <v>-14587523.1</v>
      </c>
      <c r="D419" s="442">
        <v>0</v>
      </c>
      <c r="E419" s="442">
        <v>0</v>
      </c>
      <c r="F419" s="444">
        <v>-14587523.1</v>
      </c>
      <c r="G419" s="209">
        <f t="shared" si="12"/>
        <v>0</v>
      </c>
      <c r="J419">
        <f>VLOOKUP(A419,'BCE DIC 2019'!$A$1:$F$396,6,0)</f>
        <v>-14587523.1</v>
      </c>
      <c r="K419">
        <f t="shared" si="13"/>
        <v>0</v>
      </c>
    </row>
    <row r="420" spans="1:11" ht="12.75">
      <c r="A420" s="441">
        <v>88052502</v>
      </c>
      <c r="B420" s="441" t="s">
        <v>578</v>
      </c>
      <c r="C420" s="442">
        <v>-975151.04</v>
      </c>
      <c r="D420" s="442">
        <v>0</v>
      </c>
      <c r="E420" s="442">
        <v>0</v>
      </c>
      <c r="F420" s="444">
        <v>-975151.04</v>
      </c>
      <c r="G420" s="209">
        <f t="shared" si="12"/>
        <v>0</v>
      </c>
      <c r="J420">
        <f>VLOOKUP(A420,'BCE DIC 2019'!$A$1:$F$396,6,0)</f>
        <v>-975151.04</v>
      </c>
      <c r="K420">
        <f t="shared" si="13"/>
        <v>0</v>
      </c>
    </row>
    <row r="421" spans="1:11" ht="12.75">
      <c r="A421" s="441">
        <v>9000</v>
      </c>
      <c r="B421" s="441" t="s">
        <v>564</v>
      </c>
      <c r="C421" s="442">
        <v>0</v>
      </c>
      <c r="D421" s="442">
        <v>234994679.84</v>
      </c>
      <c r="E421" s="442">
        <v>234994679.84</v>
      </c>
      <c r="F421" s="444">
        <v>0</v>
      </c>
      <c r="G421" s="209">
        <f t="shared" si="12"/>
        <v>0</v>
      </c>
      <c r="J421" t="e">
        <f>VLOOKUP(A421,'BCE DIC 2019'!$A$1:$F$396,6,0)</f>
        <v>#N/A</v>
      </c>
      <c r="K421" t="e">
        <f t="shared" si="13"/>
        <v>#N/A</v>
      </c>
    </row>
    <row r="422" spans="1:11" ht="12.75">
      <c r="A422" s="441">
        <v>9100</v>
      </c>
      <c r="B422" s="441" t="s">
        <v>594</v>
      </c>
      <c r="C422" s="442">
        <v>9848576624</v>
      </c>
      <c r="D422" s="442">
        <v>0</v>
      </c>
      <c r="E422" s="442">
        <v>234994679.84</v>
      </c>
      <c r="F422" s="444">
        <v>10083571303.84</v>
      </c>
      <c r="G422" s="209">
        <f t="shared" si="12"/>
        <v>234994679.84000015</v>
      </c>
      <c r="J422">
        <f>VLOOKUP(A422,'BCE DIC 2019'!$A$1:$F$396,6,0)</f>
        <v>1563914127</v>
      </c>
      <c r="K422">
        <f t="shared" si="13"/>
        <v>8519657176.84</v>
      </c>
    </row>
    <row r="423" spans="1:11" ht="12.75">
      <c r="A423" s="441">
        <v>9110</v>
      </c>
      <c r="B423" s="441" t="s">
        <v>595</v>
      </c>
      <c r="C423" s="442">
        <v>9747028816</v>
      </c>
      <c r="D423" s="442">
        <v>0</v>
      </c>
      <c r="E423" s="442">
        <v>234994679.84</v>
      </c>
      <c r="F423" s="444">
        <v>9982023495.84</v>
      </c>
      <c r="G423" s="209">
        <f t="shared" si="12"/>
        <v>234994679.84000015</v>
      </c>
      <c r="J423">
        <f>VLOOKUP(A423,'BCE DIC 2019'!$A$1:$F$396,6,0)</f>
        <v>1503129288</v>
      </c>
      <c r="K423">
        <f t="shared" si="13"/>
        <v>8478894207.84</v>
      </c>
    </row>
    <row r="424" spans="1:11" ht="12.75">
      <c r="A424" s="441">
        <v>91100501</v>
      </c>
      <c r="B424" s="441" t="s">
        <v>596</v>
      </c>
      <c r="C424" s="442">
        <v>6877109888</v>
      </c>
      <c r="D424" s="442">
        <v>0</v>
      </c>
      <c r="E424" s="442">
        <v>232345000</v>
      </c>
      <c r="F424" s="444">
        <v>7109454888</v>
      </c>
      <c r="G424" s="209">
        <f t="shared" si="12"/>
        <v>232345000</v>
      </c>
      <c r="J424">
        <f>VLOOKUP(A424,'BCE DIC 2019'!$A$1:$F$396,6,0)</f>
        <v>3225269822</v>
      </c>
      <c r="K424">
        <f t="shared" si="13"/>
        <v>3884185066</v>
      </c>
    </row>
    <row r="425" spans="1:11" ht="12.75">
      <c r="A425" s="441">
        <v>91151001</v>
      </c>
      <c r="B425" s="441" t="s">
        <v>597</v>
      </c>
      <c r="C425" s="442">
        <v>-1722140534</v>
      </c>
      <c r="D425" s="442">
        <v>0</v>
      </c>
      <c r="E425" s="442">
        <v>0</v>
      </c>
      <c r="F425" s="444">
        <v>-1722140534</v>
      </c>
      <c r="G425" s="209">
        <f t="shared" si="12"/>
        <v>0</v>
      </c>
      <c r="J425">
        <f>VLOOKUP(A425,'BCE DIC 2019'!$A$1:$F$396,6,0)</f>
        <v>-1722140534</v>
      </c>
      <c r="K425">
        <f t="shared" si="13"/>
        <v>0</v>
      </c>
    </row>
    <row r="426" spans="1:11" ht="12.75">
      <c r="A426" s="441">
        <v>91151003</v>
      </c>
      <c r="B426" s="441" t="s">
        <v>754</v>
      </c>
      <c r="C426" s="442">
        <v>4592059462</v>
      </c>
      <c r="D426" s="442">
        <v>0</v>
      </c>
      <c r="E426" s="442">
        <v>2649679.84</v>
      </c>
      <c r="F426" s="444">
        <v>4594709141.84</v>
      </c>
      <c r="G426" s="209">
        <f t="shared" si="12"/>
        <v>2649679.8400001526</v>
      </c>
      <c r="J426" t="e">
        <f>VLOOKUP(A426,'BCE DIC 2019'!$A$1:$F$396,6,0)</f>
        <v>#N/A</v>
      </c>
      <c r="K426" t="e">
        <f t="shared" si="13"/>
        <v>#N/A</v>
      </c>
    </row>
    <row r="427" spans="1:11" ht="12.75">
      <c r="A427" s="441">
        <v>9115</v>
      </c>
      <c r="B427" s="441" t="s">
        <v>598</v>
      </c>
      <c r="C427" s="442">
        <v>93611149</v>
      </c>
      <c r="D427" s="442">
        <v>0</v>
      </c>
      <c r="E427" s="442">
        <v>0</v>
      </c>
      <c r="F427" s="444">
        <v>93611149</v>
      </c>
      <c r="G427" s="209">
        <f t="shared" si="12"/>
        <v>0</v>
      </c>
      <c r="J427">
        <f>VLOOKUP(A427,'BCE DIC 2019'!$A$1:$F$396,6,0)</f>
        <v>52848180</v>
      </c>
      <c r="K427">
        <f t="shared" si="13"/>
        <v>40762969</v>
      </c>
    </row>
    <row r="428" spans="1:11" ht="12.75">
      <c r="A428" s="441">
        <v>91250501</v>
      </c>
      <c r="B428" s="441" t="s">
        <v>599</v>
      </c>
      <c r="C428" s="442">
        <v>93611149</v>
      </c>
      <c r="D428" s="442">
        <v>0</v>
      </c>
      <c r="E428" s="442">
        <v>0</v>
      </c>
      <c r="F428" s="444">
        <v>93611149</v>
      </c>
      <c r="G428" s="209">
        <f t="shared" si="12"/>
        <v>0</v>
      </c>
      <c r="J428">
        <f>VLOOKUP(A428,'BCE DIC 2019'!$A$1:$F$396,6,0)</f>
        <v>52848180</v>
      </c>
      <c r="K428">
        <f t="shared" si="13"/>
        <v>40762969</v>
      </c>
    </row>
    <row r="429" spans="1:6" ht="12.75">
      <c r="A429" s="441">
        <v>9125</v>
      </c>
      <c r="B429" s="441" t="s">
        <v>600</v>
      </c>
      <c r="C429" s="442">
        <v>7936659</v>
      </c>
      <c r="D429" s="442">
        <v>0</v>
      </c>
      <c r="E429" s="442">
        <v>0</v>
      </c>
      <c r="F429" s="444">
        <v>7936659</v>
      </c>
    </row>
    <row r="430" spans="1:6" ht="12.75">
      <c r="A430" s="441">
        <v>91858501</v>
      </c>
      <c r="B430" s="441" t="s">
        <v>367</v>
      </c>
      <c r="C430" s="442">
        <v>7936659</v>
      </c>
      <c r="D430" s="442">
        <v>0</v>
      </c>
      <c r="E430" s="442">
        <v>0</v>
      </c>
      <c r="F430" s="444">
        <v>7936659</v>
      </c>
    </row>
    <row r="431" spans="1:6" ht="12.75">
      <c r="A431" s="441">
        <v>9600</v>
      </c>
      <c r="B431" s="441" t="s">
        <v>601</v>
      </c>
      <c r="C431" s="442">
        <v>-9848576624</v>
      </c>
      <c r="D431" s="442">
        <v>234994679.84</v>
      </c>
      <c r="E431" s="442">
        <v>0</v>
      </c>
      <c r="F431" s="444">
        <v>-10083571303.84</v>
      </c>
    </row>
    <row r="432" spans="1:6" ht="12.75">
      <c r="A432" s="441">
        <v>9605</v>
      </c>
      <c r="B432" s="441" t="s">
        <v>602</v>
      </c>
      <c r="C432" s="442">
        <v>-9848576624</v>
      </c>
      <c r="D432" s="442">
        <v>234994679.84</v>
      </c>
      <c r="E432" s="442">
        <v>0</v>
      </c>
      <c r="F432" s="444">
        <v>-10083571303.84</v>
      </c>
    </row>
    <row r="433" spans="1:6" ht="12.75">
      <c r="A433" s="441">
        <v>81859501</v>
      </c>
      <c r="B433" s="441" t="s">
        <v>367</v>
      </c>
      <c r="C433" s="442">
        <v>-7936659</v>
      </c>
      <c r="D433" s="442">
        <v>0</v>
      </c>
      <c r="E433" s="442">
        <v>0</v>
      </c>
      <c r="F433" s="444">
        <v>-7936659</v>
      </c>
    </row>
    <row r="434" spans="1:6" ht="12.75">
      <c r="A434" s="441">
        <v>96050101</v>
      </c>
      <c r="B434" s="441" t="s">
        <v>603</v>
      </c>
      <c r="C434" s="442">
        <v>-93611149</v>
      </c>
      <c r="D434" s="442">
        <v>0</v>
      </c>
      <c r="E434" s="442">
        <v>0</v>
      </c>
      <c r="F434" s="444">
        <v>-93611149</v>
      </c>
    </row>
    <row r="435" spans="1:6" ht="12.75">
      <c r="A435" s="441">
        <v>96050102</v>
      </c>
      <c r="B435" s="441" t="s">
        <v>604</v>
      </c>
      <c r="C435" s="442">
        <v>-5154969354</v>
      </c>
      <c r="D435" s="442">
        <v>232345000</v>
      </c>
      <c r="E435" s="442">
        <v>0</v>
      </c>
      <c r="F435" s="444">
        <v>-5387314354</v>
      </c>
    </row>
    <row r="436" spans="1:6" ht="12.75">
      <c r="A436" s="441">
        <v>96050107</v>
      </c>
      <c r="B436" s="441" t="s">
        <v>755</v>
      </c>
      <c r="C436" s="442">
        <v>-4592059462</v>
      </c>
      <c r="D436" s="442">
        <v>2649679.84</v>
      </c>
      <c r="E436" s="442">
        <v>0</v>
      </c>
      <c r="F436" s="444">
        <v>-4594709141.84</v>
      </c>
    </row>
    <row r="437" spans="1:6" ht="12.75">
      <c r="A437" s="429"/>
      <c r="B437" s="429"/>
      <c r="C437" s="430"/>
      <c r="D437" s="430"/>
      <c r="E437" s="430"/>
      <c r="F437" s="440">
        <v>-200000</v>
      </c>
    </row>
    <row r="438" spans="1:6" ht="12.75">
      <c r="A438" s="429"/>
      <c r="B438" s="429"/>
      <c r="C438" s="430"/>
      <c r="D438" s="430"/>
      <c r="E438" s="430"/>
      <c r="F438" s="440">
        <v>-48869975</v>
      </c>
    </row>
    <row r="439" spans="1:6" ht="12.75">
      <c r="A439" s="429"/>
      <c r="B439" s="429"/>
      <c r="C439" s="430"/>
      <c r="D439" s="430"/>
      <c r="E439" s="430"/>
      <c r="F439" s="440">
        <v>-91594252.95</v>
      </c>
    </row>
    <row r="440" spans="1:6" ht="12.75">
      <c r="A440" s="429"/>
      <c r="B440" s="429"/>
      <c r="C440" s="430"/>
      <c r="D440" s="430"/>
      <c r="E440" s="430"/>
      <c r="F440" s="440">
        <v>-14587523.1</v>
      </c>
    </row>
    <row r="441" spans="1:6" ht="12.75">
      <c r="A441" s="429"/>
      <c r="B441" s="429"/>
      <c r="C441" s="430"/>
      <c r="D441" s="430"/>
      <c r="E441" s="430"/>
      <c r="F441" s="440">
        <v>-975151.04</v>
      </c>
    </row>
    <row r="442" spans="1:6" ht="12.75">
      <c r="A442" s="429"/>
      <c r="B442" s="429"/>
      <c r="C442" s="430"/>
      <c r="D442" s="430"/>
      <c r="E442" s="430"/>
      <c r="F442" s="440">
        <v>0</v>
      </c>
    </row>
    <row r="443" spans="1:6" ht="12.75">
      <c r="A443" s="429"/>
      <c r="B443" s="429"/>
      <c r="C443" s="430"/>
      <c r="D443" s="430"/>
      <c r="E443" s="430"/>
      <c r="F443" s="440">
        <v>6508181727.16</v>
      </c>
    </row>
    <row r="444" spans="1:6" ht="12.75">
      <c r="A444" s="429"/>
      <c r="B444" s="429"/>
      <c r="C444" s="430"/>
      <c r="D444" s="430"/>
      <c r="E444" s="430"/>
      <c r="F444" s="440">
        <v>6431073919.16</v>
      </c>
    </row>
    <row r="445" spans="1:6" ht="12.75">
      <c r="A445" s="429"/>
      <c r="B445" s="429"/>
      <c r="C445" s="430"/>
      <c r="D445" s="430"/>
      <c r="E445" s="430"/>
      <c r="F445" s="440">
        <v>3988837522</v>
      </c>
    </row>
    <row r="446" spans="1:6" ht="12.75">
      <c r="A446" s="429"/>
      <c r="B446" s="429"/>
      <c r="C446" s="430"/>
      <c r="D446" s="430"/>
      <c r="E446" s="430"/>
      <c r="F446" s="440">
        <v>-1722140534</v>
      </c>
    </row>
    <row r="447" spans="1:6" ht="12.75">
      <c r="A447" s="429"/>
      <c r="B447" s="429"/>
      <c r="C447" s="430"/>
      <c r="D447" s="430"/>
      <c r="E447" s="430"/>
      <c r="F447" s="440">
        <v>4164376931.16</v>
      </c>
    </row>
    <row r="448" spans="1:6" ht="12.75">
      <c r="A448" s="429"/>
      <c r="B448" s="429"/>
      <c r="C448" s="430"/>
      <c r="D448" s="430"/>
      <c r="E448" s="430"/>
      <c r="F448" s="440">
        <v>69171149</v>
      </c>
    </row>
    <row r="449" spans="1:6" ht="12.75">
      <c r="A449" s="429"/>
      <c r="B449" s="429"/>
      <c r="C449" s="430"/>
      <c r="D449" s="430"/>
      <c r="E449" s="430"/>
      <c r="F449" s="440">
        <v>69171149</v>
      </c>
    </row>
    <row r="450" spans="1:6" ht="12.75">
      <c r="A450" s="429"/>
      <c r="B450" s="429"/>
      <c r="C450" s="430"/>
      <c r="D450" s="430"/>
      <c r="E450" s="430"/>
      <c r="F450" s="440">
        <v>7936659</v>
      </c>
    </row>
    <row r="451" spans="1:6" ht="12.75">
      <c r="A451" s="429"/>
      <c r="B451" s="429"/>
      <c r="C451" s="430"/>
      <c r="D451" s="430"/>
      <c r="E451" s="430"/>
      <c r="F451" s="440">
        <v>7936659</v>
      </c>
    </row>
    <row r="452" spans="1:6" ht="12.75">
      <c r="A452" s="429"/>
      <c r="B452" s="429"/>
      <c r="C452" s="430"/>
      <c r="D452" s="430"/>
      <c r="E452" s="430"/>
      <c r="F452" s="440">
        <v>-6508181727.16</v>
      </c>
    </row>
    <row r="453" spans="1:6" ht="12.75">
      <c r="A453" s="429"/>
      <c r="B453" s="429"/>
      <c r="C453" s="430"/>
      <c r="D453" s="430"/>
      <c r="E453" s="430"/>
      <c r="F453" s="440">
        <v>-6508181727.16</v>
      </c>
    </row>
    <row r="454" spans="1:6" ht="12.75">
      <c r="A454" s="429"/>
      <c r="B454" s="429"/>
      <c r="C454" s="430"/>
      <c r="D454" s="430"/>
      <c r="E454" s="430"/>
      <c r="F454" s="440">
        <v>-7936659</v>
      </c>
    </row>
    <row r="455" spans="1:6" ht="12.75">
      <c r="A455" s="429"/>
      <c r="B455" s="429"/>
      <c r="C455" s="430"/>
      <c r="D455" s="430"/>
      <c r="E455" s="430"/>
      <c r="F455" s="440">
        <v>-69171149</v>
      </c>
    </row>
    <row r="456" spans="1:6" ht="12.75">
      <c r="A456" s="429"/>
      <c r="B456" s="429"/>
      <c r="C456" s="430"/>
      <c r="D456" s="430"/>
      <c r="E456" s="430"/>
      <c r="F456" s="440">
        <v>-2266696988</v>
      </c>
    </row>
    <row r="457" spans="1:6" ht="12.75">
      <c r="A457" s="429"/>
      <c r="B457" s="429"/>
      <c r="C457" s="430"/>
      <c r="D457" s="430"/>
      <c r="E457" s="430"/>
      <c r="F457" s="440">
        <v>-4164376931.16</v>
      </c>
    </row>
  </sheetData>
  <sheetProtection/>
  <autoFilter ref="A1:K428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7"/>
  <sheetViews>
    <sheetView zoomScalePageLayoutView="0" workbookViewId="0" topLeftCell="A178">
      <selection activeCell="F211" sqref="F211:F212"/>
    </sheetView>
  </sheetViews>
  <sheetFormatPr defaultColWidth="11.421875" defaultRowHeight="12.75"/>
  <cols>
    <col min="1" max="1" width="11.140625" style="436" bestFit="1" customWidth="1"/>
    <col min="2" max="2" width="55.57421875" style="436" bestFit="1" customWidth="1"/>
    <col min="3" max="3" width="16.7109375" style="436" bestFit="1" customWidth="1"/>
    <col min="4" max="5" width="14.7109375" style="436" bestFit="1" customWidth="1"/>
    <col min="6" max="6" width="15.421875" style="447" bestFit="1" customWidth="1"/>
    <col min="7" max="7" width="11.8515625" style="436" bestFit="1" customWidth="1"/>
    <col min="8" max="16384" width="11.421875" style="436" customWidth="1"/>
  </cols>
  <sheetData>
    <row r="1" spans="1:6" ht="15">
      <c r="A1" s="339" t="s">
        <v>244</v>
      </c>
      <c r="B1" s="339" t="s">
        <v>245</v>
      </c>
      <c r="C1" s="339" t="s">
        <v>246</v>
      </c>
      <c r="D1" s="339" t="s">
        <v>247</v>
      </c>
      <c r="E1" s="339" t="s">
        <v>248</v>
      </c>
      <c r="F1" s="340" t="s">
        <v>249</v>
      </c>
    </row>
    <row r="2" spans="1:6" ht="15">
      <c r="A2" s="437">
        <v>1000</v>
      </c>
      <c r="B2" s="437" t="s">
        <v>251</v>
      </c>
      <c r="C2" s="438">
        <v>8043492254.78</v>
      </c>
      <c r="D2" s="438">
        <v>2704696697.35</v>
      </c>
      <c r="E2" s="438">
        <v>2880104277.77</v>
      </c>
      <c r="F2" s="446">
        <v>7868084674.36</v>
      </c>
    </row>
    <row r="3" spans="1:6" ht="15">
      <c r="A3" s="437">
        <v>1100</v>
      </c>
      <c r="B3" s="437" t="s">
        <v>252</v>
      </c>
      <c r="C3" s="438">
        <v>2425191110.52</v>
      </c>
      <c r="D3" s="438">
        <v>1170578451.44</v>
      </c>
      <c r="E3" s="438">
        <v>1236522317.29</v>
      </c>
      <c r="F3" s="446">
        <v>2359247244.67</v>
      </c>
    </row>
    <row r="4" spans="1:6" ht="15">
      <c r="A4" s="437">
        <v>1105</v>
      </c>
      <c r="B4" s="437" t="s">
        <v>253</v>
      </c>
      <c r="C4" s="438">
        <v>2287461.57</v>
      </c>
      <c r="D4" s="438">
        <v>258936403</v>
      </c>
      <c r="E4" s="438">
        <v>261223864.57</v>
      </c>
      <c r="F4" s="446">
        <v>0</v>
      </c>
    </row>
    <row r="5" spans="1:6" ht="15">
      <c r="A5" s="437">
        <v>110505</v>
      </c>
      <c r="B5" s="437" t="s">
        <v>254</v>
      </c>
      <c r="C5" s="438">
        <v>1287461.57</v>
      </c>
      <c r="D5" s="438">
        <v>258368383</v>
      </c>
      <c r="E5" s="438">
        <v>259655844.57</v>
      </c>
      <c r="F5" s="446">
        <v>0</v>
      </c>
    </row>
    <row r="6" spans="1:6" ht="15">
      <c r="A6" s="437">
        <v>11050501</v>
      </c>
      <c r="B6" s="437" t="s">
        <v>255</v>
      </c>
      <c r="C6" s="438">
        <v>1287461.57</v>
      </c>
      <c r="D6" s="438">
        <v>258368383</v>
      </c>
      <c r="E6" s="438">
        <v>259655844.57</v>
      </c>
      <c r="F6" s="446">
        <v>0</v>
      </c>
    </row>
    <row r="7" spans="1:6" ht="15">
      <c r="A7" s="437">
        <v>110510</v>
      </c>
      <c r="B7" s="437" t="s">
        <v>256</v>
      </c>
      <c r="C7" s="438">
        <v>1000000</v>
      </c>
      <c r="D7" s="438">
        <v>568020</v>
      </c>
      <c r="E7" s="438">
        <v>1568020</v>
      </c>
      <c r="F7" s="446">
        <v>0</v>
      </c>
    </row>
    <row r="8" spans="1:6" ht="15">
      <c r="A8" s="437">
        <v>11051001</v>
      </c>
      <c r="B8" s="437" t="s">
        <v>257</v>
      </c>
      <c r="C8" s="438">
        <v>1000000</v>
      </c>
      <c r="D8" s="438">
        <v>568020</v>
      </c>
      <c r="E8" s="438">
        <v>1568020</v>
      </c>
      <c r="F8" s="446">
        <v>0</v>
      </c>
    </row>
    <row r="9" spans="1:6" ht="15">
      <c r="A9" s="437">
        <v>1110</v>
      </c>
      <c r="B9" s="437" t="s">
        <v>258</v>
      </c>
      <c r="C9" s="438">
        <v>188603855.95</v>
      </c>
      <c r="D9" s="438">
        <v>905927983.44</v>
      </c>
      <c r="E9" s="438">
        <v>924382922.72</v>
      </c>
      <c r="F9" s="446">
        <v>170148916.67</v>
      </c>
    </row>
    <row r="10" spans="1:6" ht="15">
      <c r="A10" s="437">
        <v>111005</v>
      </c>
      <c r="B10" s="437" t="s">
        <v>259</v>
      </c>
      <c r="C10" s="438">
        <v>188603855.95</v>
      </c>
      <c r="D10" s="438">
        <v>905927983.44</v>
      </c>
      <c r="E10" s="438">
        <v>924382922.72</v>
      </c>
      <c r="F10" s="446">
        <v>170148916.67</v>
      </c>
    </row>
    <row r="11" spans="1:6" ht="15">
      <c r="A11" s="437">
        <v>11100501</v>
      </c>
      <c r="B11" s="437" t="s">
        <v>260</v>
      </c>
      <c r="C11" s="438">
        <v>10921886.52</v>
      </c>
      <c r="D11" s="438">
        <v>335589514</v>
      </c>
      <c r="E11" s="438">
        <v>342060301</v>
      </c>
      <c r="F11" s="446">
        <v>4451099.52</v>
      </c>
    </row>
    <row r="12" spans="1:6" ht="15">
      <c r="A12" s="437">
        <v>11100502</v>
      </c>
      <c r="B12" s="437" t="s">
        <v>261</v>
      </c>
      <c r="C12" s="438">
        <v>51012100.96</v>
      </c>
      <c r="D12" s="438">
        <v>347390308</v>
      </c>
      <c r="E12" s="438">
        <v>332322621.72</v>
      </c>
      <c r="F12" s="446">
        <v>66079787.24</v>
      </c>
    </row>
    <row r="13" spans="1:6" ht="15">
      <c r="A13" s="437">
        <v>11100506</v>
      </c>
      <c r="B13" s="437" t="s">
        <v>262</v>
      </c>
      <c r="C13" s="438">
        <v>126669868.47</v>
      </c>
      <c r="D13" s="438">
        <v>222948161.44</v>
      </c>
      <c r="E13" s="438">
        <v>250000000</v>
      </c>
      <c r="F13" s="446">
        <v>99618029.91</v>
      </c>
    </row>
    <row r="14" spans="1:6" ht="15">
      <c r="A14" s="437">
        <v>1115</v>
      </c>
      <c r="B14" s="437" t="s">
        <v>263</v>
      </c>
      <c r="C14" s="438">
        <v>2234299793</v>
      </c>
      <c r="D14" s="438">
        <v>5714065</v>
      </c>
      <c r="E14" s="438">
        <v>50915530</v>
      </c>
      <c r="F14" s="446">
        <v>2189098328</v>
      </c>
    </row>
    <row r="15" spans="1:6" ht="15">
      <c r="A15" s="437">
        <v>111505</v>
      </c>
      <c r="B15" s="437" t="s">
        <v>707</v>
      </c>
      <c r="C15" s="438">
        <v>1775555316</v>
      </c>
      <c r="D15" s="438">
        <v>5152456</v>
      </c>
      <c r="E15" s="438">
        <v>50915530</v>
      </c>
      <c r="F15" s="446">
        <v>1729792242</v>
      </c>
    </row>
    <row r="16" spans="1:6" ht="15">
      <c r="A16" s="437">
        <v>11151003</v>
      </c>
      <c r="B16" s="437" t="s">
        <v>708</v>
      </c>
      <c r="C16" s="438">
        <v>63378686</v>
      </c>
      <c r="D16" s="438">
        <v>0</v>
      </c>
      <c r="E16" s="438">
        <v>0</v>
      </c>
      <c r="F16" s="446">
        <v>63378686</v>
      </c>
    </row>
    <row r="17" spans="1:6" ht="15">
      <c r="A17" s="437">
        <v>11151004</v>
      </c>
      <c r="B17" s="437" t="s">
        <v>709</v>
      </c>
      <c r="C17" s="438">
        <v>100586500</v>
      </c>
      <c r="D17" s="438">
        <v>638624</v>
      </c>
      <c r="E17" s="438">
        <v>0</v>
      </c>
      <c r="F17" s="446">
        <v>101225124</v>
      </c>
    </row>
    <row r="18" spans="1:6" ht="15">
      <c r="A18" s="437">
        <v>11151006</v>
      </c>
      <c r="B18" s="437" t="s">
        <v>708</v>
      </c>
      <c r="C18" s="438">
        <v>65140750</v>
      </c>
      <c r="D18" s="438">
        <v>0</v>
      </c>
      <c r="E18" s="438">
        <v>0</v>
      </c>
      <c r="F18" s="446">
        <v>65140750</v>
      </c>
    </row>
    <row r="19" spans="1:6" ht="15">
      <c r="A19" s="437">
        <v>11151007</v>
      </c>
      <c r="B19" s="437" t="s">
        <v>708</v>
      </c>
      <c r="C19" s="438">
        <v>91872208</v>
      </c>
      <c r="D19" s="438">
        <v>568873</v>
      </c>
      <c r="E19" s="438">
        <v>0</v>
      </c>
      <c r="F19" s="446">
        <v>92441081</v>
      </c>
    </row>
    <row r="20" spans="1:6" ht="15">
      <c r="A20" s="437">
        <v>11151008</v>
      </c>
      <c r="B20" s="437" t="s">
        <v>708</v>
      </c>
      <c r="C20" s="438">
        <v>88204841</v>
      </c>
      <c r="D20" s="438">
        <v>0</v>
      </c>
      <c r="E20" s="438">
        <v>0</v>
      </c>
      <c r="F20" s="446">
        <v>88204841</v>
      </c>
    </row>
    <row r="21" spans="1:6" ht="15">
      <c r="A21" s="437">
        <v>11151009</v>
      </c>
      <c r="B21" s="437" t="s">
        <v>708</v>
      </c>
      <c r="C21" s="438">
        <v>125481247</v>
      </c>
      <c r="D21" s="438">
        <v>0</v>
      </c>
      <c r="E21" s="438">
        <v>0</v>
      </c>
      <c r="F21" s="446">
        <v>125481247</v>
      </c>
    </row>
    <row r="22" spans="1:6" ht="15">
      <c r="A22" s="437">
        <v>11151010</v>
      </c>
      <c r="B22" s="437" t="s">
        <v>708</v>
      </c>
      <c r="C22" s="438">
        <v>115392763</v>
      </c>
      <c r="D22" s="438">
        <v>0</v>
      </c>
      <c r="E22" s="438">
        <v>0</v>
      </c>
      <c r="F22" s="446">
        <v>115392763</v>
      </c>
    </row>
    <row r="23" spans="1:6" ht="15">
      <c r="A23" s="437">
        <v>11151011</v>
      </c>
      <c r="B23" s="437" t="s">
        <v>708</v>
      </c>
      <c r="C23" s="438">
        <v>107614617</v>
      </c>
      <c r="D23" s="438">
        <v>666350</v>
      </c>
      <c r="E23" s="438">
        <v>0</v>
      </c>
      <c r="F23" s="446">
        <v>108280967</v>
      </c>
    </row>
    <row r="24" spans="1:6" ht="15">
      <c r="A24" s="437">
        <v>11151012</v>
      </c>
      <c r="B24" s="437" t="s">
        <v>708</v>
      </c>
      <c r="C24" s="438">
        <v>159501304</v>
      </c>
      <c r="D24" s="438">
        <v>0</v>
      </c>
      <c r="E24" s="438">
        <v>0</v>
      </c>
      <c r="F24" s="446">
        <v>159501304</v>
      </c>
    </row>
    <row r="25" spans="1:6" ht="15">
      <c r="A25" s="437">
        <v>11151013</v>
      </c>
      <c r="B25" s="437" t="s">
        <v>708</v>
      </c>
      <c r="C25" s="438">
        <v>104971229</v>
      </c>
      <c r="D25" s="438">
        <v>649982</v>
      </c>
      <c r="E25" s="438">
        <v>0</v>
      </c>
      <c r="F25" s="446">
        <v>105621211</v>
      </c>
    </row>
    <row r="26" spans="1:6" ht="15">
      <c r="A26" s="437">
        <v>11151014</v>
      </c>
      <c r="B26" s="437" t="s">
        <v>708</v>
      </c>
      <c r="C26" s="438">
        <v>121119433</v>
      </c>
      <c r="D26" s="438">
        <v>0</v>
      </c>
      <c r="E26" s="438">
        <v>0</v>
      </c>
      <c r="F26" s="446">
        <v>121119433</v>
      </c>
    </row>
    <row r="27" spans="1:6" ht="15">
      <c r="A27" s="437">
        <v>11151015</v>
      </c>
      <c r="B27" s="437" t="s">
        <v>709</v>
      </c>
      <c r="C27" s="438">
        <v>120540838</v>
      </c>
      <c r="D27" s="438">
        <v>744340</v>
      </c>
      <c r="E27" s="438">
        <v>0</v>
      </c>
      <c r="F27" s="446">
        <v>121285178</v>
      </c>
    </row>
    <row r="28" spans="1:6" ht="15">
      <c r="A28" s="437">
        <v>11151016</v>
      </c>
      <c r="B28" s="437" t="s">
        <v>709</v>
      </c>
      <c r="C28" s="438">
        <v>254113113</v>
      </c>
      <c r="D28" s="438">
        <v>1569148</v>
      </c>
      <c r="E28" s="438">
        <v>0</v>
      </c>
      <c r="F28" s="446">
        <v>255682261</v>
      </c>
    </row>
    <row r="29" spans="1:6" ht="15">
      <c r="A29" s="437">
        <v>11151017</v>
      </c>
      <c r="B29" s="437" t="s">
        <v>709</v>
      </c>
      <c r="C29" s="438">
        <v>207037396</v>
      </c>
      <c r="D29" s="438">
        <v>0</v>
      </c>
      <c r="E29" s="438">
        <v>0</v>
      </c>
      <c r="F29" s="446">
        <v>207037396</v>
      </c>
    </row>
    <row r="30" spans="1:6" ht="15">
      <c r="A30" s="437">
        <v>11151018</v>
      </c>
      <c r="B30" s="437" t="s">
        <v>709</v>
      </c>
      <c r="C30" s="438">
        <v>50600391</v>
      </c>
      <c r="D30" s="438">
        <v>315139</v>
      </c>
      <c r="E30" s="438">
        <v>50915530</v>
      </c>
      <c r="F30" s="446">
        <v>0</v>
      </c>
    </row>
    <row r="31" spans="1:6" ht="15">
      <c r="A31" s="437">
        <v>111510</v>
      </c>
      <c r="B31" s="437" t="s">
        <v>264</v>
      </c>
      <c r="C31" s="438">
        <v>456648560</v>
      </c>
      <c r="D31" s="438">
        <v>556000</v>
      </c>
      <c r="E31" s="438">
        <v>0</v>
      </c>
      <c r="F31" s="446">
        <v>457204560</v>
      </c>
    </row>
    <row r="32" spans="1:6" ht="15">
      <c r="A32" s="437">
        <v>11151005</v>
      </c>
      <c r="B32" s="437" t="s">
        <v>710</v>
      </c>
      <c r="C32" s="438">
        <v>51090799</v>
      </c>
      <c r="D32" s="438">
        <v>0</v>
      </c>
      <c r="E32" s="438">
        <v>0</v>
      </c>
      <c r="F32" s="446">
        <v>51090799</v>
      </c>
    </row>
    <row r="33" spans="1:6" ht="15">
      <c r="A33" s="437">
        <v>11151019</v>
      </c>
      <c r="B33" s="437" t="s">
        <v>710</v>
      </c>
      <c r="C33" s="438">
        <v>154686411</v>
      </c>
      <c r="D33" s="438">
        <v>0</v>
      </c>
      <c r="E33" s="438">
        <v>0</v>
      </c>
      <c r="F33" s="446">
        <v>154686411</v>
      </c>
    </row>
    <row r="34" spans="1:6" ht="15">
      <c r="A34" s="437">
        <v>11151020</v>
      </c>
      <c r="B34" s="437" t="s">
        <v>710</v>
      </c>
      <c r="C34" s="438">
        <v>150871350</v>
      </c>
      <c r="D34" s="438">
        <v>0</v>
      </c>
      <c r="E34" s="438">
        <v>0</v>
      </c>
      <c r="F34" s="446">
        <v>150871350</v>
      </c>
    </row>
    <row r="35" spans="1:6" ht="15">
      <c r="A35" s="437">
        <v>11151021</v>
      </c>
      <c r="B35" s="437" t="s">
        <v>710</v>
      </c>
      <c r="C35" s="438">
        <v>100000000</v>
      </c>
      <c r="D35" s="438">
        <v>556000</v>
      </c>
      <c r="E35" s="438">
        <v>0</v>
      </c>
      <c r="F35" s="446">
        <v>100556000</v>
      </c>
    </row>
    <row r="36" spans="1:6" ht="15">
      <c r="A36" s="437">
        <v>111515</v>
      </c>
      <c r="B36" s="437" t="s">
        <v>268</v>
      </c>
      <c r="C36" s="438">
        <v>2095917</v>
      </c>
      <c r="D36" s="438">
        <v>5609</v>
      </c>
      <c r="E36" s="438">
        <v>0</v>
      </c>
      <c r="F36" s="446">
        <v>2101526</v>
      </c>
    </row>
    <row r="37" spans="1:6" ht="15">
      <c r="A37" s="437">
        <v>11151501</v>
      </c>
      <c r="B37" s="437" t="s">
        <v>269</v>
      </c>
      <c r="C37" s="438">
        <v>2095917</v>
      </c>
      <c r="D37" s="438">
        <v>5609</v>
      </c>
      <c r="E37" s="438">
        <v>0</v>
      </c>
      <c r="F37" s="446">
        <v>2101526</v>
      </c>
    </row>
    <row r="38" spans="1:6" ht="15">
      <c r="A38" s="437">
        <v>1200</v>
      </c>
      <c r="B38" s="437" t="s">
        <v>31</v>
      </c>
      <c r="C38" s="438">
        <v>36895147</v>
      </c>
      <c r="D38" s="438">
        <v>0</v>
      </c>
      <c r="E38" s="438">
        <v>0</v>
      </c>
      <c r="F38" s="446">
        <v>36895147</v>
      </c>
    </row>
    <row r="39" spans="1:6" ht="15">
      <c r="A39" s="437">
        <v>1226</v>
      </c>
      <c r="B39" s="437" t="s">
        <v>272</v>
      </c>
      <c r="C39" s="438">
        <v>36895147</v>
      </c>
      <c r="D39" s="438">
        <v>0</v>
      </c>
      <c r="E39" s="438">
        <v>0</v>
      </c>
      <c r="F39" s="446">
        <v>36895147</v>
      </c>
    </row>
    <row r="40" spans="1:6" ht="15">
      <c r="A40" s="437">
        <v>122602</v>
      </c>
      <c r="B40" s="437" t="s">
        <v>273</v>
      </c>
      <c r="C40" s="438">
        <v>36895147</v>
      </c>
      <c r="D40" s="438">
        <v>0</v>
      </c>
      <c r="E40" s="438">
        <v>0</v>
      </c>
      <c r="F40" s="446">
        <v>36895147</v>
      </c>
    </row>
    <row r="41" spans="1:6" ht="15">
      <c r="A41" s="437">
        <v>12014503</v>
      </c>
      <c r="B41" s="437" t="s">
        <v>274</v>
      </c>
      <c r="C41" s="438">
        <v>34169569</v>
      </c>
      <c r="D41" s="438">
        <v>0</v>
      </c>
      <c r="E41" s="438">
        <v>0</v>
      </c>
      <c r="F41" s="446">
        <v>34169569</v>
      </c>
    </row>
    <row r="42" spans="1:6" ht="15">
      <c r="A42" s="437">
        <v>12014504</v>
      </c>
      <c r="B42" s="437" t="s">
        <v>275</v>
      </c>
      <c r="C42" s="438">
        <v>2725578</v>
      </c>
      <c r="D42" s="438">
        <v>0</v>
      </c>
      <c r="E42" s="438">
        <v>0</v>
      </c>
      <c r="F42" s="446">
        <v>2725578</v>
      </c>
    </row>
    <row r="43" spans="1:6" ht="15">
      <c r="A43" s="437">
        <v>1400</v>
      </c>
      <c r="B43" s="437" t="s">
        <v>276</v>
      </c>
      <c r="C43" s="438">
        <v>4891403517.1</v>
      </c>
      <c r="D43" s="438">
        <v>1156510014.91</v>
      </c>
      <c r="E43" s="438">
        <v>1207936442.88</v>
      </c>
      <c r="F43" s="446">
        <v>4839977089.13</v>
      </c>
    </row>
    <row r="44" spans="1:6" ht="15">
      <c r="A44" s="437">
        <v>1411</v>
      </c>
      <c r="B44" s="437" t="s">
        <v>277</v>
      </c>
      <c r="C44" s="438">
        <v>185941681</v>
      </c>
      <c r="D44" s="438">
        <v>36305876</v>
      </c>
      <c r="E44" s="438">
        <v>37662728</v>
      </c>
      <c r="F44" s="446">
        <v>184584829</v>
      </c>
    </row>
    <row r="45" spans="1:6" ht="15">
      <c r="A45" s="437">
        <v>141105</v>
      </c>
      <c r="B45" s="437" t="s">
        <v>278</v>
      </c>
      <c r="C45" s="438">
        <v>133063982</v>
      </c>
      <c r="D45" s="438">
        <v>36305876</v>
      </c>
      <c r="E45" s="438">
        <v>1356852</v>
      </c>
      <c r="F45" s="446">
        <v>168013006</v>
      </c>
    </row>
    <row r="46" spans="1:6" ht="15">
      <c r="A46" s="437">
        <v>14110501</v>
      </c>
      <c r="B46" s="437" t="s">
        <v>279</v>
      </c>
      <c r="C46" s="438">
        <v>133063982</v>
      </c>
      <c r="D46" s="438">
        <v>36305876</v>
      </c>
      <c r="E46" s="438">
        <v>1356852</v>
      </c>
      <c r="F46" s="446">
        <v>168013006</v>
      </c>
    </row>
    <row r="47" spans="1:6" ht="15">
      <c r="A47" s="437">
        <v>141110</v>
      </c>
      <c r="B47" s="437" t="s">
        <v>280</v>
      </c>
      <c r="C47" s="438">
        <v>52877699</v>
      </c>
      <c r="D47" s="438">
        <v>0</v>
      </c>
      <c r="E47" s="438">
        <v>36305876</v>
      </c>
      <c r="F47" s="446">
        <v>16571823</v>
      </c>
    </row>
    <row r="48" spans="1:6" ht="15">
      <c r="A48" s="437">
        <v>14111001</v>
      </c>
      <c r="B48" s="437" t="s">
        <v>281</v>
      </c>
      <c r="C48" s="438">
        <v>52877699</v>
      </c>
      <c r="D48" s="438">
        <v>0</v>
      </c>
      <c r="E48" s="438">
        <v>36305876</v>
      </c>
      <c r="F48" s="446">
        <v>16571823</v>
      </c>
    </row>
    <row r="49" spans="1:6" ht="15">
      <c r="A49" s="437">
        <v>1412</v>
      </c>
      <c r="B49" s="437" t="s">
        <v>282</v>
      </c>
      <c r="C49" s="438">
        <v>613867204.97</v>
      </c>
      <c r="D49" s="438">
        <v>466714</v>
      </c>
      <c r="E49" s="438">
        <v>6864990</v>
      </c>
      <c r="F49" s="446">
        <v>607468928.97</v>
      </c>
    </row>
    <row r="50" spans="1:6" ht="15">
      <c r="A50" s="437">
        <v>141205</v>
      </c>
      <c r="B50" s="437" t="s">
        <v>278</v>
      </c>
      <c r="C50" s="438">
        <v>598086500.97</v>
      </c>
      <c r="D50" s="438">
        <v>466714</v>
      </c>
      <c r="E50" s="438">
        <v>6398276</v>
      </c>
      <c r="F50" s="446">
        <v>592154938.97</v>
      </c>
    </row>
    <row r="51" spans="1:6" ht="15">
      <c r="A51" s="437">
        <v>14120501</v>
      </c>
      <c r="B51" s="437" t="s">
        <v>283</v>
      </c>
      <c r="C51" s="438">
        <v>598086500.97</v>
      </c>
      <c r="D51" s="438">
        <v>466714</v>
      </c>
      <c r="E51" s="438">
        <v>6398276</v>
      </c>
      <c r="F51" s="446">
        <v>592154938.97</v>
      </c>
    </row>
    <row r="52" spans="1:6" ht="15">
      <c r="A52" s="437">
        <v>141210</v>
      </c>
      <c r="B52" s="437" t="s">
        <v>280</v>
      </c>
      <c r="C52" s="438">
        <v>15780704</v>
      </c>
      <c r="D52" s="438">
        <v>0</v>
      </c>
      <c r="E52" s="438">
        <v>466714</v>
      </c>
      <c r="F52" s="446">
        <v>15313990</v>
      </c>
    </row>
    <row r="53" spans="1:6" ht="15">
      <c r="A53" s="437">
        <v>14121001</v>
      </c>
      <c r="B53" s="437" t="s">
        <v>284</v>
      </c>
      <c r="C53" s="438">
        <v>15780704</v>
      </c>
      <c r="D53" s="438">
        <v>0</v>
      </c>
      <c r="E53" s="438">
        <v>466714</v>
      </c>
      <c r="F53" s="446">
        <v>15313990</v>
      </c>
    </row>
    <row r="54" spans="1:6" ht="15">
      <c r="A54" s="437">
        <v>1441</v>
      </c>
      <c r="B54" s="437" t="s">
        <v>287</v>
      </c>
      <c r="C54" s="438">
        <v>1253144784</v>
      </c>
      <c r="D54" s="438">
        <v>79296866</v>
      </c>
      <c r="E54" s="438">
        <v>95754539</v>
      </c>
      <c r="F54" s="446">
        <v>1236687111</v>
      </c>
    </row>
    <row r="55" spans="1:6" ht="15">
      <c r="A55" s="437">
        <v>144105</v>
      </c>
      <c r="B55" s="437" t="s">
        <v>278</v>
      </c>
      <c r="C55" s="438">
        <v>1236487253</v>
      </c>
      <c r="D55" s="438">
        <v>79296866</v>
      </c>
      <c r="E55" s="438">
        <v>90363945</v>
      </c>
      <c r="F55" s="446">
        <v>1225420174</v>
      </c>
    </row>
    <row r="56" spans="1:6" ht="15">
      <c r="A56" s="437">
        <v>14410501</v>
      </c>
      <c r="B56" s="437" t="s">
        <v>288</v>
      </c>
      <c r="C56" s="438">
        <v>1236487253</v>
      </c>
      <c r="D56" s="438">
        <v>79296866</v>
      </c>
      <c r="E56" s="438">
        <v>90363945</v>
      </c>
      <c r="F56" s="446">
        <v>1225420174</v>
      </c>
    </row>
    <row r="57" spans="1:6" ht="15">
      <c r="A57" s="437">
        <v>144110</v>
      </c>
      <c r="B57" s="437" t="s">
        <v>280</v>
      </c>
      <c r="C57" s="438">
        <v>16657531</v>
      </c>
      <c r="D57" s="438">
        <v>0</v>
      </c>
      <c r="E57" s="438">
        <v>5390594</v>
      </c>
      <c r="F57" s="446">
        <v>11266937</v>
      </c>
    </row>
    <row r="58" spans="1:6" ht="15">
      <c r="A58" s="437">
        <v>14411001</v>
      </c>
      <c r="B58" s="437" t="s">
        <v>289</v>
      </c>
      <c r="C58" s="438">
        <v>16657531</v>
      </c>
      <c r="D58" s="438">
        <v>0</v>
      </c>
      <c r="E58" s="438">
        <v>5390594</v>
      </c>
      <c r="F58" s="446">
        <v>11266937</v>
      </c>
    </row>
    <row r="59" spans="1:6" ht="15">
      <c r="A59" s="437">
        <v>1442</v>
      </c>
      <c r="B59" s="437" t="s">
        <v>293</v>
      </c>
      <c r="C59" s="438">
        <v>2971276708.8</v>
      </c>
      <c r="D59" s="438">
        <v>853307600.99</v>
      </c>
      <c r="E59" s="438">
        <v>896894489.63</v>
      </c>
      <c r="F59" s="446">
        <v>2927689820.16</v>
      </c>
    </row>
    <row r="60" spans="1:6" ht="15">
      <c r="A60" s="437">
        <v>144205</v>
      </c>
      <c r="B60" s="437" t="s">
        <v>278</v>
      </c>
      <c r="C60" s="438">
        <v>2194614048.8</v>
      </c>
      <c r="D60" s="438">
        <v>604127751</v>
      </c>
      <c r="E60" s="438">
        <v>441288750.63</v>
      </c>
      <c r="F60" s="446">
        <v>2357453049.17</v>
      </c>
    </row>
    <row r="61" spans="1:6" ht="15">
      <c r="A61" s="437">
        <v>14420501</v>
      </c>
      <c r="B61" s="437" t="s">
        <v>294</v>
      </c>
      <c r="C61" s="438">
        <v>2194614048.8</v>
      </c>
      <c r="D61" s="438">
        <v>604127751</v>
      </c>
      <c r="E61" s="438">
        <v>441288750.63</v>
      </c>
      <c r="F61" s="446">
        <v>2357453049.17</v>
      </c>
    </row>
    <row r="62" spans="1:6" ht="15">
      <c r="A62" s="437">
        <v>144210</v>
      </c>
      <c r="B62" s="437" t="s">
        <v>280</v>
      </c>
      <c r="C62" s="438">
        <v>334864372</v>
      </c>
      <c r="D62" s="438">
        <v>94703585.69</v>
      </c>
      <c r="E62" s="438">
        <v>212978689</v>
      </c>
      <c r="F62" s="446">
        <v>216589268.69</v>
      </c>
    </row>
    <row r="63" spans="1:6" ht="15">
      <c r="A63" s="437">
        <v>14421001</v>
      </c>
      <c r="B63" s="437" t="s">
        <v>295</v>
      </c>
      <c r="C63" s="438">
        <v>334864372</v>
      </c>
      <c r="D63" s="438">
        <v>94703585.69</v>
      </c>
      <c r="E63" s="438">
        <v>212978689</v>
      </c>
      <c r="F63" s="446">
        <v>216589268.69</v>
      </c>
    </row>
    <row r="64" spans="1:6" ht="15">
      <c r="A64" s="437">
        <v>144215</v>
      </c>
      <c r="B64" s="437" t="s">
        <v>285</v>
      </c>
      <c r="C64" s="438">
        <v>143714110</v>
      </c>
      <c r="D64" s="438">
        <v>92690921</v>
      </c>
      <c r="E64" s="438">
        <v>112082954</v>
      </c>
      <c r="F64" s="446">
        <v>124322077</v>
      </c>
    </row>
    <row r="65" spans="1:6" ht="15">
      <c r="A65" s="437">
        <v>14421501</v>
      </c>
      <c r="B65" s="437" t="s">
        <v>296</v>
      </c>
      <c r="C65" s="438">
        <v>143714110</v>
      </c>
      <c r="D65" s="438">
        <v>92690921</v>
      </c>
      <c r="E65" s="438">
        <v>112082954</v>
      </c>
      <c r="F65" s="446">
        <v>124322077</v>
      </c>
    </row>
    <row r="66" spans="1:6" ht="15">
      <c r="A66" s="437">
        <v>144220</v>
      </c>
      <c r="B66" s="437" t="s">
        <v>291</v>
      </c>
      <c r="C66" s="438">
        <v>151953866</v>
      </c>
      <c r="D66" s="438">
        <v>15447255</v>
      </c>
      <c r="E66" s="438">
        <v>64450575</v>
      </c>
      <c r="F66" s="446">
        <v>102950546</v>
      </c>
    </row>
    <row r="67" spans="1:6" ht="15">
      <c r="A67" s="437">
        <v>14422001</v>
      </c>
      <c r="B67" s="437" t="s">
        <v>297</v>
      </c>
      <c r="C67" s="438">
        <v>151953866</v>
      </c>
      <c r="D67" s="438">
        <v>15447255</v>
      </c>
      <c r="E67" s="438">
        <v>64450575</v>
      </c>
      <c r="F67" s="446">
        <v>102950546</v>
      </c>
    </row>
    <row r="68" spans="1:6" ht="15">
      <c r="A68" s="437">
        <v>144225</v>
      </c>
      <c r="B68" s="437" t="s">
        <v>286</v>
      </c>
      <c r="C68" s="438">
        <v>146130312</v>
      </c>
      <c r="D68" s="438">
        <v>46338088.3</v>
      </c>
      <c r="E68" s="438">
        <v>66093521</v>
      </c>
      <c r="F68" s="446">
        <v>126374879.3</v>
      </c>
    </row>
    <row r="69" spans="1:6" ht="15">
      <c r="A69" s="437">
        <v>14422501</v>
      </c>
      <c r="B69" s="437" t="s">
        <v>298</v>
      </c>
      <c r="C69" s="438">
        <v>146130312</v>
      </c>
      <c r="D69" s="438">
        <v>46338088.3</v>
      </c>
      <c r="E69" s="438">
        <v>66093521</v>
      </c>
      <c r="F69" s="446">
        <v>126374879.3</v>
      </c>
    </row>
    <row r="70" spans="1:6" ht="15">
      <c r="A70" s="437">
        <v>1443</v>
      </c>
      <c r="B70" s="437" t="s">
        <v>299</v>
      </c>
      <c r="C70" s="438">
        <v>87315140</v>
      </c>
      <c r="D70" s="438">
        <v>118827084.16</v>
      </c>
      <c r="E70" s="438">
        <v>118640918.16</v>
      </c>
      <c r="F70" s="446">
        <v>87501306</v>
      </c>
    </row>
    <row r="71" spans="1:6" ht="15">
      <c r="A71" s="437">
        <v>144305</v>
      </c>
      <c r="B71" s="437" t="s">
        <v>278</v>
      </c>
      <c r="C71" s="438">
        <v>24103287</v>
      </c>
      <c r="D71" s="438">
        <v>84522205.16</v>
      </c>
      <c r="E71" s="438">
        <v>85087190.16</v>
      </c>
      <c r="F71" s="446">
        <v>23538302</v>
      </c>
    </row>
    <row r="72" spans="1:6" ht="15">
      <c r="A72" s="437">
        <v>1655180101</v>
      </c>
      <c r="B72" s="437" t="s">
        <v>300</v>
      </c>
      <c r="C72" s="438">
        <v>23997785</v>
      </c>
      <c r="D72" s="438">
        <v>82029046.16</v>
      </c>
      <c r="E72" s="438">
        <v>82604506.16</v>
      </c>
      <c r="F72" s="446">
        <v>23422325</v>
      </c>
    </row>
    <row r="73" spans="1:6" ht="15">
      <c r="A73" s="437">
        <v>1655180201</v>
      </c>
      <c r="B73" s="437" t="s">
        <v>301</v>
      </c>
      <c r="C73" s="438">
        <v>105502</v>
      </c>
      <c r="D73" s="438">
        <v>2493159</v>
      </c>
      <c r="E73" s="438">
        <v>2482684</v>
      </c>
      <c r="F73" s="446">
        <v>115977</v>
      </c>
    </row>
    <row r="74" spans="1:6" ht="15">
      <c r="A74" s="437">
        <v>144310</v>
      </c>
      <c r="B74" s="437" t="s">
        <v>280</v>
      </c>
      <c r="C74" s="438">
        <v>9542615</v>
      </c>
      <c r="D74" s="438">
        <v>2604805</v>
      </c>
      <c r="E74" s="438">
        <v>5794712</v>
      </c>
      <c r="F74" s="446">
        <v>6352708</v>
      </c>
    </row>
    <row r="75" spans="1:6" ht="15">
      <c r="A75" s="437">
        <v>1655220101</v>
      </c>
      <c r="B75" s="437" t="s">
        <v>302</v>
      </c>
      <c r="C75" s="438">
        <v>9447299</v>
      </c>
      <c r="D75" s="438">
        <v>2552424</v>
      </c>
      <c r="E75" s="438">
        <v>5717997</v>
      </c>
      <c r="F75" s="446">
        <v>6281726</v>
      </c>
    </row>
    <row r="76" spans="1:6" ht="15">
      <c r="A76" s="437">
        <v>1655220201</v>
      </c>
      <c r="B76" s="437" t="s">
        <v>303</v>
      </c>
      <c r="C76" s="438">
        <v>95316</v>
      </c>
      <c r="D76" s="438">
        <v>52381</v>
      </c>
      <c r="E76" s="438">
        <v>76715</v>
      </c>
      <c r="F76" s="446">
        <v>70982</v>
      </c>
    </row>
    <row r="77" spans="1:6" ht="15">
      <c r="A77" s="437">
        <v>144315</v>
      </c>
      <c r="B77" s="437" t="s">
        <v>285</v>
      </c>
      <c r="C77" s="438">
        <v>3138059</v>
      </c>
      <c r="D77" s="438">
        <v>2357058</v>
      </c>
      <c r="E77" s="438">
        <v>2832920</v>
      </c>
      <c r="F77" s="446">
        <v>2662197</v>
      </c>
    </row>
    <row r="78" spans="1:6" ht="15">
      <c r="A78" s="437">
        <v>1655240101</v>
      </c>
      <c r="B78" s="437" t="s">
        <v>304</v>
      </c>
      <c r="C78" s="438">
        <v>3081524</v>
      </c>
      <c r="D78" s="438">
        <v>2346564</v>
      </c>
      <c r="E78" s="438">
        <v>2776378</v>
      </c>
      <c r="F78" s="446">
        <v>2651710</v>
      </c>
    </row>
    <row r="79" spans="1:6" ht="15">
      <c r="A79" s="437">
        <v>1655240201</v>
      </c>
      <c r="B79" s="437" t="s">
        <v>305</v>
      </c>
      <c r="C79" s="438">
        <v>56535</v>
      </c>
      <c r="D79" s="438">
        <v>10494</v>
      </c>
      <c r="E79" s="438">
        <v>56542</v>
      </c>
      <c r="F79" s="446">
        <v>10487</v>
      </c>
    </row>
    <row r="80" spans="1:6" ht="15">
      <c r="A80" s="437">
        <v>144320</v>
      </c>
      <c r="B80" s="437" t="s">
        <v>291</v>
      </c>
      <c r="C80" s="438">
        <v>2621989</v>
      </c>
      <c r="D80" s="438">
        <v>377209</v>
      </c>
      <c r="E80" s="438">
        <v>1186455</v>
      </c>
      <c r="F80" s="446">
        <v>1812743</v>
      </c>
    </row>
    <row r="81" spans="1:6" ht="15">
      <c r="A81" s="437">
        <v>1655260101</v>
      </c>
      <c r="B81" s="437" t="s">
        <v>306</v>
      </c>
      <c r="C81" s="438">
        <v>2569281</v>
      </c>
      <c r="D81" s="438">
        <v>369493</v>
      </c>
      <c r="E81" s="438">
        <v>1137662</v>
      </c>
      <c r="F81" s="446">
        <v>1801112</v>
      </c>
    </row>
    <row r="82" spans="1:6" ht="15">
      <c r="A82" s="437">
        <v>1655260201</v>
      </c>
      <c r="B82" s="437" t="s">
        <v>307</v>
      </c>
      <c r="C82" s="438">
        <v>52708</v>
      </c>
      <c r="D82" s="438">
        <v>7716</v>
      </c>
      <c r="E82" s="438">
        <v>48793</v>
      </c>
      <c r="F82" s="446">
        <v>11631</v>
      </c>
    </row>
    <row r="83" spans="1:6" ht="15">
      <c r="A83" s="437">
        <v>144325</v>
      </c>
      <c r="B83" s="437" t="s">
        <v>286</v>
      </c>
      <c r="C83" s="438">
        <v>14441631</v>
      </c>
      <c r="D83" s="438">
        <v>43995</v>
      </c>
      <c r="E83" s="438">
        <v>4716470</v>
      </c>
      <c r="F83" s="446">
        <v>9769156</v>
      </c>
    </row>
    <row r="84" spans="1:6" ht="15">
      <c r="A84" s="437">
        <v>1655280101</v>
      </c>
      <c r="B84" s="437" t="s">
        <v>308</v>
      </c>
      <c r="C84" s="438">
        <v>14136942</v>
      </c>
      <c r="D84" s="438">
        <v>42651</v>
      </c>
      <c r="E84" s="438">
        <v>4461384</v>
      </c>
      <c r="F84" s="446">
        <v>9718209</v>
      </c>
    </row>
    <row r="85" spans="1:6" ht="15">
      <c r="A85" s="437">
        <v>1655280201</v>
      </c>
      <c r="B85" s="437" t="s">
        <v>309</v>
      </c>
      <c r="C85" s="438">
        <v>304689</v>
      </c>
      <c r="D85" s="438">
        <v>1344</v>
      </c>
      <c r="E85" s="438">
        <v>255086</v>
      </c>
      <c r="F85" s="446">
        <v>50947</v>
      </c>
    </row>
    <row r="86" spans="1:6" ht="15">
      <c r="A86" s="437">
        <v>144330</v>
      </c>
      <c r="B86" s="437" t="s">
        <v>310</v>
      </c>
      <c r="C86" s="438">
        <v>33467559</v>
      </c>
      <c r="D86" s="438">
        <v>28921812</v>
      </c>
      <c r="E86" s="438">
        <v>19023171</v>
      </c>
      <c r="F86" s="446">
        <v>43366200</v>
      </c>
    </row>
    <row r="87" spans="1:6" ht="15">
      <c r="A87" s="437">
        <v>16909506</v>
      </c>
      <c r="B87" s="437" t="s">
        <v>311</v>
      </c>
      <c r="C87" s="438">
        <v>33467559</v>
      </c>
      <c r="D87" s="438">
        <v>28921812</v>
      </c>
      <c r="E87" s="438">
        <v>19023171</v>
      </c>
      <c r="F87" s="446">
        <v>43366200</v>
      </c>
    </row>
    <row r="88" spans="1:6" ht="15">
      <c r="A88" s="437">
        <v>1444</v>
      </c>
      <c r="B88" s="437" t="s">
        <v>312</v>
      </c>
      <c r="C88" s="438">
        <v>2151293</v>
      </c>
      <c r="D88" s="438">
        <v>2761494</v>
      </c>
      <c r="E88" s="438">
        <v>1911327</v>
      </c>
      <c r="F88" s="446">
        <v>3001460</v>
      </c>
    </row>
    <row r="89" spans="1:6" ht="15">
      <c r="A89" s="437">
        <v>144430</v>
      </c>
      <c r="B89" s="437" t="s">
        <v>313</v>
      </c>
      <c r="C89" s="438">
        <v>2151293</v>
      </c>
      <c r="D89" s="438">
        <v>2761494</v>
      </c>
      <c r="E89" s="438">
        <v>1911327</v>
      </c>
      <c r="F89" s="446">
        <v>3001460</v>
      </c>
    </row>
    <row r="90" spans="1:6" ht="15">
      <c r="A90" s="437">
        <v>16059502</v>
      </c>
      <c r="B90" s="437" t="s">
        <v>314</v>
      </c>
      <c r="C90" s="438">
        <v>2151293</v>
      </c>
      <c r="D90" s="438">
        <v>2761494</v>
      </c>
      <c r="E90" s="438">
        <v>1911327</v>
      </c>
      <c r="F90" s="446">
        <v>3001460</v>
      </c>
    </row>
    <row r="91" spans="1:6" ht="15">
      <c r="A91" s="437">
        <v>1445</v>
      </c>
      <c r="B91" s="437" t="s">
        <v>315</v>
      </c>
      <c r="C91" s="438">
        <v>-119400100.19</v>
      </c>
      <c r="D91" s="438">
        <v>53611117.76</v>
      </c>
      <c r="E91" s="438">
        <v>30296780.09</v>
      </c>
      <c r="F91" s="446">
        <v>-96085762.52</v>
      </c>
    </row>
    <row r="92" spans="1:6" ht="15">
      <c r="A92" s="437">
        <v>144520</v>
      </c>
      <c r="B92" s="437" t="s">
        <v>316</v>
      </c>
      <c r="C92" s="438">
        <v>-1996562.19</v>
      </c>
      <c r="D92" s="438">
        <v>1147052.06</v>
      </c>
      <c r="E92" s="438">
        <v>389231.39</v>
      </c>
      <c r="F92" s="446">
        <v>-1238741.52</v>
      </c>
    </row>
    <row r="93" spans="1:6" ht="15">
      <c r="A93" s="437">
        <v>14911201</v>
      </c>
      <c r="B93" s="437" t="s">
        <v>317</v>
      </c>
      <c r="C93" s="438">
        <v>-1996562.19</v>
      </c>
      <c r="D93" s="438">
        <v>1147052.06</v>
      </c>
      <c r="E93" s="438">
        <v>389231.39</v>
      </c>
      <c r="F93" s="446">
        <v>-1238741.52</v>
      </c>
    </row>
    <row r="94" spans="1:6" ht="15">
      <c r="A94" s="437">
        <v>144530</v>
      </c>
      <c r="B94" s="437" t="s">
        <v>318</v>
      </c>
      <c r="C94" s="438">
        <v>-6398058.31</v>
      </c>
      <c r="D94" s="438">
        <v>3885520.41</v>
      </c>
      <c r="E94" s="438">
        <v>5439909.6</v>
      </c>
      <c r="F94" s="446">
        <v>-7952447.5</v>
      </c>
    </row>
    <row r="95" spans="1:6" ht="15">
      <c r="A95" s="437">
        <v>14911701</v>
      </c>
      <c r="B95" s="437" t="s">
        <v>319</v>
      </c>
      <c r="C95" s="438">
        <v>-6398058.31</v>
      </c>
      <c r="D95" s="438">
        <v>3885520.41</v>
      </c>
      <c r="E95" s="438">
        <v>5439909.6</v>
      </c>
      <c r="F95" s="446">
        <v>-7952447.5</v>
      </c>
    </row>
    <row r="96" spans="1:6" ht="15">
      <c r="A96" s="437">
        <v>144540</v>
      </c>
      <c r="B96" s="437" t="s">
        <v>320</v>
      </c>
      <c r="C96" s="438">
        <v>-16050845.19</v>
      </c>
      <c r="D96" s="438">
        <v>4215121.79</v>
      </c>
      <c r="E96" s="438">
        <v>1589265.6</v>
      </c>
      <c r="F96" s="446">
        <v>-13424989</v>
      </c>
    </row>
    <row r="97" spans="1:6" ht="15">
      <c r="A97" s="437">
        <v>14912201</v>
      </c>
      <c r="B97" s="437" t="s">
        <v>321</v>
      </c>
      <c r="C97" s="438">
        <v>-16050845.19</v>
      </c>
      <c r="D97" s="438">
        <v>4215121.79</v>
      </c>
      <c r="E97" s="438">
        <v>1589265.6</v>
      </c>
      <c r="F97" s="446">
        <v>-13424989</v>
      </c>
    </row>
    <row r="98" spans="1:6" ht="15">
      <c r="A98" s="437">
        <v>144550</v>
      </c>
      <c r="B98" s="437" t="s">
        <v>322</v>
      </c>
      <c r="C98" s="438">
        <v>-94954634.5</v>
      </c>
      <c r="D98" s="438">
        <v>44363423.5</v>
      </c>
      <c r="E98" s="438">
        <v>22878373.5</v>
      </c>
      <c r="F98" s="446">
        <v>-73469584.5</v>
      </c>
    </row>
    <row r="99" spans="1:6" ht="15">
      <c r="A99" s="437">
        <v>14912701</v>
      </c>
      <c r="B99" s="437" t="s">
        <v>323</v>
      </c>
      <c r="C99" s="438">
        <v>-94954634.5</v>
      </c>
      <c r="D99" s="438">
        <v>44363423.5</v>
      </c>
      <c r="E99" s="438">
        <v>22878373.5</v>
      </c>
      <c r="F99" s="446">
        <v>-73469584.5</v>
      </c>
    </row>
    <row r="100" spans="1:6" ht="15">
      <c r="A100" s="437">
        <v>1446</v>
      </c>
      <c r="B100" s="437" t="s">
        <v>324</v>
      </c>
      <c r="C100" s="438">
        <v>-53521626</v>
      </c>
      <c r="D100" s="438">
        <v>9887136</v>
      </c>
      <c r="E100" s="438">
        <v>17239174</v>
      </c>
      <c r="F100" s="446">
        <v>-60873664</v>
      </c>
    </row>
    <row r="101" spans="1:6" ht="15">
      <c r="A101" s="437">
        <v>144615</v>
      </c>
      <c r="B101" s="437" t="s">
        <v>285</v>
      </c>
      <c r="C101" s="438">
        <v>-3138059</v>
      </c>
      <c r="D101" s="438">
        <v>2832913</v>
      </c>
      <c r="E101" s="438">
        <v>2357058</v>
      </c>
      <c r="F101" s="446">
        <v>-2662204</v>
      </c>
    </row>
    <row r="102" spans="1:6" ht="15">
      <c r="A102" s="437">
        <v>16965401</v>
      </c>
      <c r="B102" s="437" t="s">
        <v>325</v>
      </c>
      <c r="C102" s="438">
        <v>-3138059</v>
      </c>
      <c r="D102" s="438">
        <v>2832913</v>
      </c>
      <c r="E102" s="438">
        <v>2357058</v>
      </c>
      <c r="F102" s="446">
        <v>-2662204</v>
      </c>
    </row>
    <row r="103" spans="1:6" ht="15">
      <c r="A103" s="437">
        <v>144620</v>
      </c>
      <c r="B103" s="437" t="s">
        <v>291</v>
      </c>
      <c r="C103" s="438">
        <v>-2621989</v>
      </c>
      <c r="D103" s="438">
        <v>1186455</v>
      </c>
      <c r="E103" s="438">
        <v>377209</v>
      </c>
      <c r="F103" s="446">
        <v>-1812743</v>
      </c>
    </row>
    <row r="104" spans="1:6" ht="15">
      <c r="A104" s="437">
        <v>16965601</v>
      </c>
      <c r="B104" s="437" t="s">
        <v>326</v>
      </c>
      <c r="C104" s="438">
        <v>-2621989</v>
      </c>
      <c r="D104" s="438">
        <v>1186455</v>
      </c>
      <c r="E104" s="438">
        <v>377209</v>
      </c>
      <c r="F104" s="446">
        <v>-1812743</v>
      </c>
    </row>
    <row r="105" spans="1:6" ht="15">
      <c r="A105" s="437">
        <v>144625</v>
      </c>
      <c r="B105" s="437" t="s">
        <v>286</v>
      </c>
      <c r="C105" s="438">
        <v>-14441631</v>
      </c>
      <c r="D105" s="438">
        <v>4716470</v>
      </c>
      <c r="E105" s="438">
        <v>43995</v>
      </c>
      <c r="F105" s="446">
        <v>-9769156</v>
      </c>
    </row>
    <row r="106" spans="1:6" ht="15">
      <c r="A106" s="437">
        <v>16965701</v>
      </c>
      <c r="B106" s="437" t="s">
        <v>327</v>
      </c>
      <c r="C106" s="438">
        <v>-14441631</v>
      </c>
      <c r="D106" s="438">
        <v>4716470</v>
      </c>
      <c r="E106" s="438">
        <v>43995</v>
      </c>
      <c r="F106" s="446">
        <v>-9769156</v>
      </c>
    </row>
    <row r="107" spans="1:6" ht="15">
      <c r="A107" s="437">
        <v>144630</v>
      </c>
      <c r="B107" s="437" t="s">
        <v>328</v>
      </c>
      <c r="C107" s="438">
        <v>-33319947</v>
      </c>
      <c r="D107" s="438">
        <v>1151298</v>
      </c>
      <c r="E107" s="438">
        <v>14460912</v>
      </c>
      <c r="F107" s="446">
        <v>-46629561</v>
      </c>
    </row>
    <row r="108" spans="1:6" ht="15">
      <c r="A108" s="437">
        <v>14463001</v>
      </c>
      <c r="B108" s="437" t="s">
        <v>329</v>
      </c>
      <c r="C108" s="438">
        <v>-33319947</v>
      </c>
      <c r="D108" s="438">
        <v>1151298</v>
      </c>
      <c r="E108" s="438">
        <v>14460912</v>
      </c>
      <c r="F108" s="446">
        <v>-46629561</v>
      </c>
    </row>
    <row r="109" spans="1:6" ht="15">
      <c r="A109" s="437">
        <v>1447</v>
      </c>
      <c r="B109" s="437" t="s">
        <v>330</v>
      </c>
      <c r="C109" s="438">
        <v>-2232979</v>
      </c>
      <c r="D109" s="438">
        <v>92169</v>
      </c>
      <c r="E109" s="438">
        <v>1380744</v>
      </c>
      <c r="F109" s="446">
        <v>-3521554</v>
      </c>
    </row>
    <row r="110" spans="1:6" ht="15">
      <c r="A110" s="437">
        <v>144730</v>
      </c>
      <c r="B110" s="437" t="s">
        <v>313</v>
      </c>
      <c r="C110" s="438">
        <v>-2232979</v>
      </c>
      <c r="D110" s="438">
        <v>92169</v>
      </c>
      <c r="E110" s="438">
        <v>1380744</v>
      </c>
      <c r="F110" s="446">
        <v>-3521554</v>
      </c>
    </row>
    <row r="111" spans="1:6" ht="30">
      <c r="A111" s="437">
        <v>14473001</v>
      </c>
      <c r="B111" s="439" t="s">
        <v>331</v>
      </c>
      <c r="C111" s="438">
        <v>-2232979</v>
      </c>
      <c r="D111" s="438">
        <v>92169</v>
      </c>
      <c r="E111" s="438">
        <v>1380744</v>
      </c>
      <c r="F111" s="446">
        <v>-3521554</v>
      </c>
    </row>
    <row r="112" spans="1:6" ht="15">
      <c r="A112" s="437">
        <v>1468</v>
      </c>
      <c r="B112" s="437" t="s">
        <v>332</v>
      </c>
      <c r="C112" s="438">
        <v>-50242303.48</v>
      </c>
      <c r="D112" s="438">
        <v>677997</v>
      </c>
      <c r="E112" s="438">
        <v>0</v>
      </c>
      <c r="F112" s="446">
        <v>-49564306.48</v>
      </c>
    </row>
    <row r="113" spans="1:6" ht="15">
      <c r="A113" s="437">
        <v>14980501</v>
      </c>
      <c r="B113" s="437" t="s">
        <v>333</v>
      </c>
      <c r="C113" s="438">
        <v>-50242303.48</v>
      </c>
      <c r="D113" s="438">
        <v>677997</v>
      </c>
      <c r="E113" s="438">
        <v>0</v>
      </c>
      <c r="F113" s="446">
        <v>-49564306.48</v>
      </c>
    </row>
    <row r="114" spans="1:6" ht="15">
      <c r="A114" s="437">
        <v>1473</v>
      </c>
      <c r="B114" s="437" t="s">
        <v>711</v>
      </c>
      <c r="C114" s="438">
        <v>3103714</v>
      </c>
      <c r="D114" s="438">
        <v>1275960</v>
      </c>
      <c r="E114" s="438">
        <v>1290753</v>
      </c>
      <c r="F114" s="446">
        <v>3088921</v>
      </c>
    </row>
    <row r="115" spans="1:6" ht="15">
      <c r="A115" s="437">
        <v>147315</v>
      </c>
      <c r="B115" s="437" t="s">
        <v>712</v>
      </c>
      <c r="C115" s="438">
        <v>549048</v>
      </c>
      <c r="D115" s="438">
        <v>1275960</v>
      </c>
      <c r="E115" s="438">
        <v>1250769</v>
      </c>
      <c r="F115" s="446">
        <v>574239</v>
      </c>
    </row>
    <row r="116" spans="1:6" ht="15">
      <c r="A116" s="437">
        <v>14731501</v>
      </c>
      <c r="B116" s="437" t="s">
        <v>713</v>
      </c>
      <c r="C116" s="438">
        <v>549048</v>
      </c>
      <c r="D116" s="438">
        <v>1275960</v>
      </c>
      <c r="E116" s="438">
        <v>1250769</v>
      </c>
      <c r="F116" s="446">
        <v>574239</v>
      </c>
    </row>
    <row r="117" spans="1:6" ht="15">
      <c r="A117" s="437">
        <v>147320</v>
      </c>
      <c r="B117" s="437" t="s">
        <v>714</v>
      </c>
      <c r="C117" s="438">
        <v>2281900</v>
      </c>
      <c r="D117" s="438">
        <v>0</v>
      </c>
      <c r="E117" s="438">
        <v>0</v>
      </c>
      <c r="F117" s="446">
        <v>2281900</v>
      </c>
    </row>
    <row r="118" spans="1:6" ht="15">
      <c r="A118" s="437">
        <v>14732001</v>
      </c>
      <c r="B118" s="437" t="s">
        <v>715</v>
      </c>
      <c r="C118" s="438">
        <v>2281900</v>
      </c>
      <c r="D118" s="438">
        <v>0</v>
      </c>
      <c r="E118" s="438">
        <v>0</v>
      </c>
      <c r="F118" s="446">
        <v>2281900</v>
      </c>
    </row>
    <row r="119" spans="1:6" ht="15">
      <c r="A119" s="437">
        <v>147395</v>
      </c>
      <c r="B119" s="437" t="s">
        <v>716</v>
      </c>
      <c r="C119" s="438">
        <v>272766</v>
      </c>
      <c r="D119" s="438">
        <v>0</v>
      </c>
      <c r="E119" s="438">
        <v>39984</v>
      </c>
      <c r="F119" s="446">
        <v>232782</v>
      </c>
    </row>
    <row r="120" spans="1:6" ht="15">
      <c r="A120" s="437">
        <v>14739501</v>
      </c>
      <c r="B120" s="437" t="s">
        <v>717</v>
      </c>
      <c r="C120" s="438">
        <v>272766</v>
      </c>
      <c r="D120" s="438">
        <v>0</v>
      </c>
      <c r="E120" s="438">
        <v>39984</v>
      </c>
      <c r="F120" s="446">
        <v>232782</v>
      </c>
    </row>
    <row r="121" spans="1:6" ht="15">
      <c r="A121" s="437">
        <v>1600</v>
      </c>
      <c r="B121" s="437" t="s">
        <v>334</v>
      </c>
      <c r="C121" s="438">
        <v>72293044.16</v>
      </c>
      <c r="D121" s="438">
        <v>308681671</v>
      </c>
      <c r="E121" s="438">
        <v>364313788.69</v>
      </c>
      <c r="F121" s="446">
        <v>16660926.47</v>
      </c>
    </row>
    <row r="122" spans="1:6" ht="15">
      <c r="A122" s="437">
        <v>1630</v>
      </c>
      <c r="B122" s="437" t="s">
        <v>335</v>
      </c>
      <c r="C122" s="438">
        <v>3170894.16</v>
      </c>
      <c r="D122" s="438">
        <v>250406811</v>
      </c>
      <c r="E122" s="438">
        <v>250336128.69</v>
      </c>
      <c r="F122" s="446">
        <v>3241576.47</v>
      </c>
    </row>
    <row r="123" spans="1:6" ht="15">
      <c r="A123" s="437">
        <v>163015</v>
      </c>
      <c r="B123" s="437" t="s">
        <v>336</v>
      </c>
      <c r="C123" s="438">
        <v>1632162</v>
      </c>
      <c r="D123" s="438">
        <v>241894600</v>
      </c>
      <c r="E123" s="438">
        <v>242017600</v>
      </c>
      <c r="F123" s="446">
        <v>1509162</v>
      </c>
    </row>
    <row r="124" spans="1:6" ht="15">
      <c r="A124" s="437">
        <v>16251005</v>
      </c>
      <c r="B124" s="437" t="s">
        <v>337</v>
      </c>
      <c r="C124" s="438">
        <v>1632162</v>
      </c>
      <c r="D124" s="438">
        <v>241894600</v>
      </c>
      <c r="E124" s="438">
        <v>242017600</v>
      </c>
      <c r="F124" s="446">
        <v>1509162</v>
      </c>
    </row>
    <row r="125" spans="1:6" ht="15">
      <c r="A125" s="437">
        <v>163095</v>
      </c>
      <c r="B125" s="437" t="s">
        <v>338</v>
      </c>
      <c r="C125" s="438">
        <v>1538732.16</v>
      </c>
      <c r="D125" s="438">
        <v>8512211</v>
      </c>
      <c r="E125" s="438">
        <v>8318528.69</v>
      </c>
      <c r="F125" s="446">
        <v>1732414.47</v>
      </c>
    </row>
    <row r="126" spans="1:6" ht="15">
      <c r="A126" s="437">
        <v>16059501</v>
      </c>
      <c r="B126" s="437" t="s">
        <v>339</v>
      </c>
      <c r="C126" s="438">
        <v>1538732.16</v>
      </c>
      <c r="D126" s="438">
        <v>8512211</v>
      </c>
      <c r="E126" s="438">
        <v>8318528.69</v>
      </c>
      <c r="F126" s="446">
        <v>1732414.47</v>
      </c>
    </row>
    <row r="127" spans="1:6" ht="15">
      <c r="A127" s="437">
        <v>1640</v>
      </c>
      <c r="B127" s="437" t="s">
        <v>718</v>
      </c>
      <c r="C127" s="438">
        <v>811</v>
      </c>
      <c r="D127" s="438">
        <v>0</v>
      </c>
      <c r="E127" s="438">
        <v>0</v>
      </c>
      <c r="F127" s="446">
        <v>811</v>
      </c>
    </row>
    <row r="128" spans="1:6" ht="15">
      <c r="A128" s="437">
        <v>164010</v>
      </c>
      <c r="B128" s="437" t="s">
        <v>719</v>
      </c>
      <c r="C128" s="438">
        <v>811</v>
      </c>
      <c r="D128" s="438">
        <v>0</v>
      </c>
      <c r="E128" s="438">
        <v>0</v>
      </c>
      <c r="F128" s="446">
        <v>811</v>
      </c>
    </row>
    <row r="129" spans="1:6" ht="15">
      <c r="A129" s="437">
        <v>16401001</v>
      </c>
      <c r="B129" s="437" t="s">
        <v>720</v>
      </c>
      <c r="C129" s="438">
        <v>811</v>
      </c>
      <c r="D129" s="438">
        <v>0</v>
      </c>
      <c r="E129" s="438">
        <v>0</v>
      </c>
      <c r="F129" s="446">
        <v>811</v>
      </c>
    </row>
    <row r="130" spans="1:6" ht="15">
      <c r="A130" s="437">
        <v>1650</v>
      </c>
      <c r="B130" s="437" t="s">
        <v>340</v>
      </c>
      <c r="C130" s="438">
        <v>56994992</v>
      </c>
      <c r="D130" s="438">
        <v>58274860</v>
      </c>
      <c r="E130" s="438">
        <v>113977660</v>
      </c>
      <c r="F130" s="446">
        <v>1292192</v>
      </c>
    </row>
    <row r="131" spans="1:6" ht="15">
      <c r="A131" s="437">
        <v>165005</v>
      </c>
      <c r="B131" s="437" t="s">
        <v>341</v>
      </c>
      <c r="C131" s="438">
        <v>56994992</v>
      </c>
      <c r="D131" s="438">
        <v>58274860</v>
      </c>
      <c r="E131" s="438">
        <v>113977660</v>
      </c>
      <c r="F131" s="446">
        <v>1292192</v>
      </c>
    </row>
    <row r="132" spans="1:6" ht="15">
      <c r="A132" s="437">
        <v>16500501</v>
      </c>
      <c r="B132" s="437" t="s">
        <v>342</v>
      </c>
      <c r="C132" s="438">
        <v>56994992</v>
      </c>
      <c r="D132" s="438">
        <v>58274860</v>
      </c>
      <c r="E132" s="438">
        <v>113977660</v>
      </c>
      <c r="F132" s="446">
        <v>1292192</v>
      </c>
    </row>
    <row r="133" spans="1:6" ht="15">
      <c r="A133" s="437">
        <v>1655</v>
      </c>
      <c r="B133" s="437" t="s">
        <v>343</v>
      </c>
      <c r="C133" s="438">
        <v>626376</v>
      </c>
      <c r="D133" s="438">
        <v>0</v>
      </c>
      <c r="E133" s="438">
        <v>0</v>
      </c>
      <c r="F133" s="446">
        <v>626376</v>
      </c>
    </row>
    <row r="134" spans="1:6" ht="15">
      <c r="A134" s="437">
        <v>165515</v>
      </c>
      <c r="B134" s="437" t="s">
        <v>344</v>
      </c>
      <c r="C134" s="438">
        <v>626376</v>
      </c>
      <c r="D134" s="438">
        <v>0</v>
      </c>
      <c r="E134" s="438">
        <v>0</v>
      </c>
      <c r="F134" s="446">
        <v>626376</v>
      </c>
    </row>
    <row r="135" spans="1:6" ht="15">
      <c r="A135" s="437">
        <v>16909502</v>
      </c>
      <c r="B135" s="437" t="s">
        <v>345</v>
      </c>
      <c r="C135" s="438">
        <v>626376</v>
      </c>
      <c r="D135" s="438">
        <v>0</v>
      </c>
      <c r="E135" s="438">
        <v>0</v>
      </c>
      <c r="F135" s="446">
        <v>626376</v>
      </c>
    </row>
    <row r="136" spans="1:6" ht="15">
      <c r="A136" s="437">
        <v>1660</v>
      </c>
      <c r="B136" s="437" t="s">
        <v>346</v>
      </c>
      <c r="C136" s="438">
        <v>11499971</v>
      </c>
      <c r="D136" s="438">
        <v>0</v>
      </c>
      <c r="E136" s="438">
        <v>0</v>
      </c>
      <c r="F136" s="446">
        <v>11499971</v>
      </c>
    </row>
    <row r="137" spans="1:6" ht="15">
      <c r="A137" s="437">
        <v>166030</v>
      </c>
      <c r="B137" s="437" t="s">
        <v>347</v>
      </c>
      <c r="C137" s="438">
        <v>11499971</v>
      </c>
      <c r="D137" s="438">
        <v>0</v>
      </c>
      <c r="E137" s="438">
        <v>0</v>
      </c>
      <c r="F137" s="446">
        <v>11499971</v>
      </c>
    </row>
    <row r="138" spans="1:6" ht="15">
      <c r="A138" s="437">
        <v>16603001</v>
      </c>
      <c r="B138" s="437" t="s">
        <v>348</v>
      </c>
      <c r="C138" s="438">
        <v>11499971</v>
      </c>
      <c r="D138" s="438">
        <v>0</v>
      </c>
      <c r="E138" s="438">
        <v>0</v>
      </c>
      <c r="F138" s="446">
        <v>11499971</v>
      </c>
    </row>
    <row r="139" spans="1:6" ht="15">
      <c r="A139" s="437">
        <v>1700</v>
      </c>
      <c r="B139" s="437" t="s">
        <v>349</v>
      </c>
      <c r="C139" s="438">
        <v>617709436</v>
      </c>
      <c r="D139" s="438">
        <v>68926560</v>
      </c>
      <c r="E139" s="438">
        <v>71331728.91</v>
      </c>
      <c r="F139" s="446">
        <v>615304267.09</v>
      </c>
    </row>
    <row r="140" spans="1:6" ht="15">
      <c r="A140" s="437">
        <v>1705</v>
      </c>
      <c r="B140" s="437" t="s">
        <v>153</v>
      </c>
      <c r="C140" s="438">
        <v>617709436</v>
      </c>
      <c r="D140" s="438">
        <v>68926560</v>
      </c>
      <c r="E140" s="438">
        <v>71331728.91</v>
      </c>
      <c r="F140" s="446">
        <v>615304267.09</v>
      </c>
    </row>
    <row r="141" spans="1:6" ht="15">
      <c r="A141" s="437">
        <v>170502</v>
      </c>
      <c r="B141" s="437" t="s">
        <v>350</v>
      </c>
      <c r="C141" s="438">
        <v>527849000</v>
      </c>
      <c r="D141" s="438">
        <v>0</v>
      </c>
      <c r="E141" s="438">
        <v>0</v>
      </c>
      <c r="F141" s="446">
        <v>527849000</v>
      </c>
    </row>
    <row r="142" spans="1:6" ht="15">
      <c r="A142" s="437">
        <v>17050501</v>
      </c>
      <c r="B142" s="437" t="s">
        <v>351</v>
      </c>
      <c r="C142" s="438">
        <v>527849000</v>
      </c>
      <c r="D142" s="438">
        <v>0</v>
      </c>
      <c r="E142" s="438">
        <v>0</v>
      </c>
      <c r="F142" s="446">
        <v>527849000</v>
      </c>
    </row>
    <row r="143" spans="1:6" ht="15">
      <c r="A143" s="437">
        <v>170504</v>
      </c>
      <c r="B143" s="437" t="s">
        <v>352</v>
      </c>
      <c r="C143" s="438">
        <v>126901000</v>
      </c>
      <c r="D143" s="438">
        <v>0</v>
      </c>
      <c r="E143" s="438">
        <v>0</v>
      </c>
      <c r="F143" s="446">
        <v>126901000</v>
      </c>
    </row>
    <row r="144" spans="1:6" ht="15">
      <c r="A144" s="437">
        <v>17150501</v>
      </c>
      <c r="B144" s="437" t="s">
        <v>353</v>
      </c>
      <c r="C144" s="438">
        <v>126901000</v>
      </c>
      <c r="D144" s="438">
        <v>0</v>
      </c>
      <c r="E144" s="438">
        <v>0</v>
      </c>
      <c r="F144" s="446">
        <v>126901000</v>
      </c>
    </row>
    <row r="145" spans="1:6" ht="15">
      <c r="A145" s="437">
        <v>170505</v>
      </c>
      <c r="B145" s="437" t="s">
        <v>354</v>
      </c>
      <c r="C145" s="438">
        <v>32986084</v>
      </c>
      <c r="D145" s="438">
        <v>0</v>
      </c>
      <c r="E145" s="438">
        <v>0</v>
      </c>
      <c r="F145" s="446">
        <v>32986084</v>
      </c>
    </row>
    <row r="146" spans="1:6" ht="15">
      <c r="A146" s="437">
        <v>17201001</v>
      </c>
      <c r="B146" s="437" t="s">
        <v>355</v>
      </c>
      <c r="C146" s="438">
        <v>19336940</v>
      </c>
      <c r="D146" s="438">
        <v>0</v>
      </c>
      <c r="E146" s="438">
        <v>0</v>
      </c>
      <c r="F146" s="446">
        <v>19336940</v>
      </c>
    </row>
    <row r="147" spans="1:6" ht="15">
      <c r="A147" s="437">
        <v>17201501</v>
      </c>
      <c r="B147" s="437" t="s">
        <v>356</v>
      </c>
      <c r="C147" s="438">
        <v>13649144</v>
      </c>
      <c r="D147" s="438">
        <v>0</v>
      </c>
      <c r="E147" s="438">
        <v>0</v>
      </c>
      <c r="F147" s="446">
        <v>13649144</v>
      </c>
    </row>
    <row r="148" spans="1:6" ht="15">
      <c r="A148" s="437">
        <v>170520</v>
      </c>
      <c r="B148" s="437" t="s">
        <v>357</v>
      </c>
      <c r="C148" s="438">
        <v>81701947</v>
      </c>
      <c r="D148" s="438">
        <v>0</v>
      </c>
      <c r="E148" s="438">
        <v>0</v>
      </c>
      <c r="F148" s="446">
        <v>81701947</v>
      </c>
    </row>
    <row r="149" spans="1:6" ht="15">
      <c r="A149" s="437">
        <v>17250501</v>
      </c>
      <c r="B149" s="437" t="s">
        <v>358</v>
      </c>
      <c r="C149" s="438">
        <v>81701947</v>
      </c>
      <c r="D149" s="438">
        <v>0</v>
      </c>
      <c r="E149" s="438">
        <v>0</v>
      </c>
      <c r="F149" s="446">
        <v>81701947</v>
      </c>
    </row>
    <row r="150" spans="1:6" ht="15">
      <c r="A150" s="437">
        <v>170591</v>
      </c>
      <c r="B150" s="437" t="s">
        <v>359</v>
      </c>
      <c r="C150" s="438">
        <v>136261122</v>
      </c>
      <c r="D150" s="438">
        <v>0</v>
      </c>
      <c r="E150" s="438">
        <v>0</v>
      </c>
      <c r="F150" s="446">
        <v>136261122</v>
      </c>
    </row>
    <row r="151" spans="1:6" ht="15">
      <c r="A151" s="437">
        <v>17059101</v>
      </c>
      <c r="B151" s="437" t="s">
        <v>360</v>
      </c>
      <c r="C151" s="438">
        <v>136261122</v>
      </c>
      <c r="D151" s="438">
        <v>0</v>
      </c>
      <c r="E151" s="438">
        <v>0</v>
      </c>
      <c r="F151" s="446">
        <v>136261122</v>
      </c>
    </row>
    <row r="152" spans="1:6" ht="15">
      <c r="A152" s="437">
        <v>170595</v>
      </c>
      <c r="B152" s="437" t="s">
        <v>361</v>
      </c>
      <c r="C152" s="438">
        <v>-287989717</v>
      </c>
      <c r="D152" s="438">
        <v>68926560</v>
      </c>
      <c r="E152" s="438">
        <v>1151958.91</v>
      </c>
      <c r="F152" s="446">
        <v>-220215115.91</v>
      </c>
    </row>
    <row r="153" spans="1:6" ht="15">
      <c r="A153" s="437">
        <v>17950501</v>
      </c>
      <c r="B153" s="437" t="s">
        <v>39</v>
      </c>
      <c r="C153" s="438">
        <v>-117202576.73</v>
      </c>
      <c r="D153" s="438">
        <v>0</v>
      </c>
      <c r="E153" s="438">
        <v>528796.47</v>
      </c>
      <c r="F153" s="446">
        <v>-117731373.2</v>
      </c>
    </row>
    <row r="154" spans="1:6" ht="15">
      <c r="A154" s="437">
        <v>17951001</v>
      </c>
      <c r="B154" s="437" t="s">
        <v>362</v>
      </c>
      <c r="C154" s="438">
        <v>-29586070.43</v>
      </c>
      <c r="D154" s="438">
        <v>0</v>
      </c>
      <c r="E154" s="438">
        <v>269338.37</v>
      </c>
      <c r="F154" s="446">
        <v>-29855408.8</v>
      </c>
    </row>
    <row r="155" spans="1:6" ht="15">
      <c r="A155" s="437">
        <v>17952001</v>
      </c>
      <c r="B155" s="437" t="s">
        <v>363</v>
      </c>
      <c r="C155" s="438">
        <v>-72274509.84</v>
      </c>
      <c r="D155" s="438">
        <v>0</v>
      </c>
      <c r="E155" s="438">
        <v>353824.07</v>
      </c>
      <c r="F155" s="446">
        <v>-72628333.91</v>
      </c>
    </row>
    <row r="156" spans="1:6" ht="15">
      <c r="A156" s="437">
        <v>19993502</v>
      </c>
      <c r="B156" s="437" t="s">
        <v>721</v>
      </c>
      <c r="C156" s="438">
        <v>-68926560</v>
      </c>
      <c r="D156" s="438">
        <v>68926560</v>
      </c>
      <c r="E156" s="438">
        <v>0</v>
      </c>
      <c r="F156" s="446">
        <v>0</v>
      </c>
    </row>
    <row r="157" spans="1:6" ht="15">
      <c r="A157" s="437">
        <v>170599</v>
      </c>
      <c r="B157" s="437" t="s">
        <v>722</v>
      </c>
      <c r="C157" s="438">
        <v>0</v>
      </c>
      <c r="D157" s="438">
        <v>0</v>
      </c>
      <c r="E157" s="438">
        <v>70179770</v>
      </c>
      <c r="F157" s="446">
        <v>-70179770</v>
      </c>
    </row>
    <row r="158" spans="1:6" ht="15">
      <c r="A158" s="437">
        <v>19993503</v>
      </c>
      <c r="B158" s="437" t="s">
        <v>723</v>
      </c>
      <c r="C158" s="438">
        <v>0</v>
      </c>
      <c r="D158" s="438">
        <v>0</v>
      </c>
      <c r="E158" s="438">
        <v>70179770</v>
      </c>
      <c r="F158" s="446">
        <v>-70179770</v>
      </c>
    </row>
    <row r="159" spans="1:6" ht="15">
      <c r="A159" s="437">
        <v>2000</v>
      </c>
      <c r="B159" s="437" t="s">
        <v>50</v>
      </c>
      <c r="C159" s="438">
        <v>441298407.55</v>
      </c>
      <c r="D159" s="438">
        <v>686434388.34</v>
      </c>
      <c r="E159" s="438">
        <v>464977974.67</v>
      </c>
      <c r="F159" s="446">
        <v>219841993.88</v>
      </c>
    </row>
    <row r="160" spans="1:6" ht="15">
      <c r="A160" s="437">
        <v>2400</v>
      </c>
      <c r="B160" s="437" t="s">
        <v>365</v>
      </c>
      <c r="C160" s="438">
        <v>59229500.01</v>
      </c>
      <c r="D160" s="438">
        <v>318229390.85</v>
      </c>
      <c r="E160" s="438">
        <v>361626856.67</v>
      </c>
      <c r="F160" s="446">
        <v>102626965.83</v>
      </c>
    </row>
    <row r="161" spans="1:6" ht="15">
      <c r="A161" s="437">
        <v>2405</v>
      </c>
      <c r="B161" s="437" t="s">
        <v>366</v>
      </c>
      <c r="C161" s="438">
        <v>3204121</v>
      </c>
      <c r="D161" s="438">
        <v>57478790</v>
      </c>
      <c r="E161" s="438">
        <v>67438232</v>
      </c>
      <c r="F161" s="448">
        <v>13163563</v>
      </c>
    </row>
    <row r="162" spans="1:6" ht="15">
      <c r="A162" s="437">
        <v>240595</v>
      </c>
      <c r="B162" s="437" t="s">
        <v>367</v>
      </c>
      <c r="C162" s="438">
        <v>3204121</v>
      </c>
      <c r="D162" s="438">
        <v>57478790</v>
      </c>
      <c r="E162" s="438">
        <v>67438232</v>
      </c>
      <c r="F162" s="448">
        <v>13163563</v>
      </c>
    </row>
    <row r="163" spans="1:6" ht="15">
      <c r="A163" s="437">
        <v>24159501</v>
      </c>
      <c r="B163" s="437" t="s">
        <v>55</v>
      </c>
      <c r="C163" s="438">
        <v>3204121</v>
      </c>
      <c r="D163" s="438">
        <v>57478790</v>
      </c>
      <c r="E163" s="438">
        <v>67438232</v>
      </c>
      <c r="F163" s="448">
        <v>13163563</v>
      </c>
    </row>
    <row r="164" spans="1:6" ht="15">
      <c r="A164" s="437">
        <v>2435</v>
      </c>
      <c r="B164" s="437" t="s">
        <v>368</v>
      </c>
      <c r="C164" s="438">
        <v>263457</v>
      </c>
      <c r="D164" s="438">
        <v>187923</v>
      </c>
      <c r="E164" s="438">
        <v>1240354</v>
      </c>
      <c r="F164" s="449">
        <v>1315888</v>
      </c>
    </row>
    <row r="165" spans="1:6" ht="15">
      <c r="A165" s="437">
        <v>243515</v>
      </c>
      <c r="B165" s="437" t="s">
        <v>369</v>
      </c>
      <c r="C165" s="438">
        <v>90000</v>
      </c>
      <c r="D165" s="438">
        <v>90000</v>
      </c>
      <c r="E165" s="438">
        <v>344753</v>
      </c>
      <c r="F165" s="449">
        <v>344753</v>
      </c>
    </row>
    <row r="166" spans="1:6" ht="15">
      <c r="A166" s="437">
        <v>24451501</v>
      </c>
      <c r="B166" s="437" t="s">
        <v>370</v>
      </c>
      <c r="C166" s="438">
        <v>90000</v>
      </c>
      <c r="D166" s="438">
        <v>90000</v>
      </c>
      <c r="E166" s="438">
        <v>0</v>
      </c>
      <c r="F166" s="449">
        <v>0</v>
      </c>
    </row>
    <row r="167" spans="1:6" ht="15">
      <c r="A167" s="437">
        <v>24451502</v>
      </c>
      <c r="B167" s="437" t="s">
        <v>724</v>
      </c>
      <c r="C167" s="438">
        <v>0</v>
      </c>
      <c r="D167" s="438">
        <v>0</v>
      </c>
      <c r="E167" s="438">
        <v>344753</v>
      </c>
      <c r="F167" s="449">
        <v>344753</v>
      </c>
    </row>
    <row r="168" spans="1:6" ht="15">
      <c r="A168" s="437">
        <v>243525</v>
      </c>
      <c r="B168" s="437" t="s">
        <v>371</v>
      </c>
      <c r="C168" s="438">
        <v>75065</v>
      </c>
      <c r="D168" s="438">
        <v>75065</v>
      </c>
      <c r="E168" s="438">
        <v>585604</v>
      </c>
      <c r="F168" s="449">
        <v>585604</v>
      </c>
    </row>
    <row r="169" spans="1:6" ht="15">
      <c r="A169" s="437">
        <v>24452501</v>
      </c>
      <c r="B169" s="437" t="s">
        <v>372</v>
      </c>
      <c r="C169" s="438">
        <v>6000</v>
      </c>
      <c r="D169" s="438">
        <v>6000</v>
      </c>
      <c r="E169" s="438">
        <v>468000</v>
      </c>
      <c r="F169" s="449">
        <v>468000</v>
      </c>
    </row>
    <row r="170" spans="1:6" ht="15">
      <c r="A170" s="437">
        <v>24452502</v>
      </c>
      <c r="B170" s="437" t="s">
        <v>373</v>
      </c>
      <c r="C170" s="438">
        <v>21600</v>
      </c>
      <c r="D170" s="438">
        <v>21600</v>
      </c>
      <c r="E170" s="438">
        <v>70200</v>
      </c>
      <c r="F170" s="449">
        <v>70200</v>
      </c>
    </row>
    <row r="171" spans="1:6" ht="15">
      <c r="A171" s="437">
        <v>24452504</v>
      </c>
      <c r="B171" s="437" t="s">
        <v>374</v>
      </c>
      <c r="C171" s="438">
        <v>47465</v>
      </c>
      <c r="D171" s="438">
        <v>47465</v>
      </c>
      <c r="E171" s="438">
        <v>47404</v>
      </c>
      <c r="F171" s="449">
        <v>47404</v>
      </c>
    </row>
    <row r="172" spans="1:6" ht="15">
      <c r="A172" s="437">
        <v>243540</v>
      </c>
      <c r="B172" s="437" t="s">
        <v>375</v>
      </c>
      <c r="C172" s="438">
        <v>22858</v>
      </c>
      <c r="D172" s="438">
        <v>22858</v>
      </c>
      <c r="E172" s="438">
        <v>60750</v>
      </c>
      <c r="F172" s="449">
        <v>60750</v>
      </c>
    </row>
    <row r="173" spans="1:6" ht="15">
      <c r="A173" s="437">
        <v>24454001</v>
      </c>
      <c r="B173" s="437" t="s">
        <v>376</v>
      </c>
      <c r="C173" s="438">
        <v>22858</v>
      </c>
      <c r="D173" s="438">
        <v>22858</v>
      </c>
      <c r="E173" s="438">
        <v>60750</v>
      </c>
      <c r="F173" s="449">
        <v>60750</v>
      </c>
    </row>
    <row r="174" spans="1:6" ht="15">
      <c r="A174" s="437">
        <v>243575</v>
      </c>
      <c r="B174" s="437" t="s">
        <v>377</v>
      </c>
      <c r="C174" s="438">
        <v>75534</v>
      </c>
      <c r="D174" s="438">
        <v>0</v>
      </c>
      <c r="E174" s="438">
        <v>249247</v>
      </c>
      <c r="F174" s="449">
        <v>324781</v>
      </c>
    </row>
    <row r="175" spans="1:6" ht="15">
      <c r="A175" s="437">
        <v>24480501</v>
      </c>
      <c r="B175" s="437" t="s">
        <v>378</v>
      </c>
      <c r="C175" s="438">
        <v>75534</v>
      </c>
      <c r="D175" s="438">
        <v>0</v>
      </c>
      <c r="E175" s="438">
        <v>249247</v>
      </c>
      <c r="F175" s="449">
        <v>324781</v>
      </c>
    </row>
    <row r="176" spans="1:6" ht="15">
      <c r="A176" s="437">
        <v>2440</v>
      </c>
      <c r="B176" s="437" t="s">
        <v>379</v>
      </c>
      <c r="C176" s="438">
        <v>10746652</v>
      </c>
      <c r="D176" s="438">
        <v>0</v>
      </c>
      <c r="E176" s="438">
        <v>1261988</v>
      </c>
      <c r="F176" s="449">
        <v>12008640</v>
      </c>
    </row>
    <row r="177" spans="1:6" ht="15">
      <c r="A177" s="437">
        <v>244015</v>
      </c>
      <c r="B177" s="437" t="s">
        <v>380</v>
      </c>
      <c r="C177" s="438">
        <v>10746652</v>
      </c>
      <c r="D177" s="438">
        <v>0</v>
      </c>
      <c r="E177" s="438">
        <v>1261988</v>
      </c>
      <c r="F177" s="449">
        <v>12008640</v>
      </c>
    </row>
    <row r="178" spans="1:6" ht="15">
      <c r="A178" s="437">
        <v>25150501</v>
      </c>
      <c r="B178" s="437" t="s">
        <v>381</v>
      </c>
      <c r="C178" s="438">
        <v>9344915</v>
      </c>
      <c r="D178" s="438">
        <v>0</v>
      </c>
      <c r="E178" s="438">
        <v>1097381</v>
      </c>
      <c r="F178" s="449">
        <v>10442296</v>
      </c>
    </row>
    <row r="179" spans="1:6" ht="15">
      <c r="A179" s="437">
        <v>25150502</v>
      </c>
      <c r="B179" s="437" t="s">
        <v>725</v>
      </c>
      <c r="C179" s="438">
        <v>1401737</v>
      </c>
      <c r="D179" s="438">
        <v>0</v>
      </c>
      <c r="E179" s="438">
        <v>164607</v>
      </c>
      <c r="F179" s="449">
        <v>1566344</v>
      </c>
    </row>
    <row r="180" spans="1:6" ht="15">
      <c r="A180" s="437">
        <v>2450</v>
      </c>
      <c r="B180" s="437" t="s">
        <v>382</v>
      </c>
      <c r="C180" s="438">
        <v>2901900</v>
      </c>
      <c r="D180" s="438">
        <v>2901900</v>
      </c>
      <c r="E180" s="438">
        <v>2932300</v>
      </c>
      <c r="F180" s="448">
        <v>2932300</v>
      </c>
    </row>
    <row r="181" spans="1:6" ht="15">
      <c r="A181" s="437">
        <v>245005</v>
      </c>
      <c r="B181" s="437" t="s">
        <v>383</v>
      </c>
      <c r="C181" s="438">
        <v>465700</v>
      </c>
      <c r="D181" s="438">
        <v>465700</v>
      </c>
      <c r="E181" s="438">
        <v>444000</v>
      </c>
      <c r="F181" s="448">
        <v>444000</v>
      </c>
    </row>
    <row r="182" spans="1:6" ht="15">
      <c r="A182" s="437">
        <v>24500501</v>
      </c>
      <c r="B182" s="437" t="s">
        <v>384</v>
      </c>
      <c r="C182" s="438">
        <v>465700</v>
      </c>
      <c r="D182" s="438">
        <v>465700</v>
      </c>
      <c r="E182" s="438">
        <v>444000</v>
      </c>
      <c r="F182" s="448">
        <v>444000</v>
      </c>
    </row>
    <row r="183" spans="1:6" ht="15">
      <c r="A183" s="437">
        <v>245010</v>
      </c>
      <c r="B183" s="437" t="s">
        <v>385</v>
      </c>
      <c r="C183" s="438">
        <v>1909600</v>
      </c>
      <c r="D183" s="438">
        <v>1909600</v>
      </c>
      <c r="E183" s="438">
        <v>1822700</v>
      </c>
      <c r="F183" s="448">
        <v>1822700</v>
      </c>
    </row>
    <row r="184" spans="1:6" ht="15">
      <c r="A184" s="437">
        <v>24501001</v>
      </c>
      <c r="B184" s="437" t="s">
        <v>386</v>
      </c>
      <c r="C184" s="438">
        <v>1909600</v>
      </c>
      <c r="D184" s="438">
        <v>1909600</v>
      </c>
      <c r="E184" s="438">
        <v>1822700</v>
      </c>
      <c r="F184" s="448">
        <v>1822700</v>
      </c>
    </row>
    <row r="185" spans="1:6" ht="15">
      <c r="A185" s="437">
        <v>245015</v>
      </c>
      <c r="B185" s="437" t="s">
        <v>387</v>
      </c>
      <c r="C185" s="438">
        <v>60900</v>
      </c>
      <c r="D185" s="438">
        <v>60900</v>
      </c>
      <c r="E185" s="438">
        <v>58100</v>
      </c>
      <c r="F185" s="448">
        <v>58100</v>
      </c>
    </row>
    <row r="186" spans="1:6" ht="15">
      <c r="A186" s="437">
        <v>24501501</v>
      </c>
      <c r="B186" s="437" t="s">
        <v>726</v>
      </c>
      <c r="C186" s="438">
        <v>60900</v>
      </c>
      <c r="D186" s="438">
        <v>60900</v>
      </c>
      <c r="E186" s="438">
        <v>58100</v>
      </c>
      <c r="F186" s="448">
        <v>58100</v>
      </c>
    </row>
    <row r="187" spans="1:6" ht="15">
      <c r="A187" s="437">
        <v>245020</v>
      </c>
      <c r="B187" s="437" t="s">
        <v>389</v>
      </c>
      <c r="C187" s="438">
        <v>465700</v>
      </c>
      <c r="D187" s="438">
        <v>465700</v>
      </c>
      <c r="E187" s="438">
        <v>607500</v>
      </c>
      <c r="F187" s="448">
        <v>607500</v>
      </c>
    </row>
    <row r="188" spans="1:6" ht="15">
      <c r="A188" s="437">
        <v>24502001</v>
      </c>
      <c r="B188" s="437" t="s">
        <v>390</v>
      </c>
      <c r="C188" s="438">
        <v>465700</v>
      </c>
      <c r="D188" s="438">
        <v>465700</v>
      </c>
      <c r="E188" s="438">
        <v>607500</v>
      </c>
      <c r="F188" s="448">
        <v>607500</v>
      </c>
    </row>
    <row r="189" spans="1:6" ht="15">
      <c r="A189" s="437">
        <v>2460</v>
      </c>
      <c r="B189" s="437" t="s">
        <v>391</v>
      </c>
      <c r="C189" s="438">
        <v>0</v>
      </c>
      <c r="D189" s="438">
        <v>227523561</v>
      </c>
      <c r="E189" s="438">
        <v>227523561</v>
      </c>
      <c r="F189" s="446">
        <v>0</v>
      </c>
    </row>
    <row r="190" spans="1:6" ht="15">
      <c r="A190" s="437">
        <v>246035</v>
      </c>
      <c r="B190" s="437" t="s">
        <v>392</v>
      </c>
      <c r="C190" s="438">
        <v>0</v>
      </c>
      <c r="D190" s="438">
        <v>227523561</v>
      </c>
      <c r="E190" s="438">
        <v>227523561</v>
      </c>
      <c r="F190" s="446">
        <v>0</v>
      </c>
    </row>
    <row r="191" spans="1:6" ht="15">
      <c r="A191" s="437">
        <v>24959502</v>
      </c>
      <c r="B191" s="437" t="s">
        <v>393</v>
      </c>
      <c r="C191" s="438">
        <v>0</v>
      </c>
      <c r="D191" s="438">
        <v>227523561</v>
      </c>
      <c r="E191" s="438">
        <v>227523561</v>
      </c>
      <c r="F191" s="446">
        <v>0</v>
      </c>
    </row>
    <row r="192" spans="1:6" ht="15">
      <c r="A192" s="437">
        <v>2465</v>
      </c>
      <c r="B192" s="437" t="s">
        <v>396</v>
      </c>
      <c r="C192" s="438">
        <v>42113370.01</v>
      </c>
      <c r="D192" s="438">
        <v>30137216.85</v>
      </c>
      <c r="E192" s="438">
        <v>61230421.67</v>
      </c>
      <c r="F192" s="448">
        <v>73206574.83</v>
      </c>
    </row>
    <row r="193" spans="1:6" ht="15">
      <c r="A193" s="437">
        <v>246505</v>
      </c>
      <c r="B193" s="437" t="s">
        <v>397</v>
      </c>
      <c r="C193" s="438">
        <v>42113370.01</v>
      </c>
      <c r="D193" s="438">
        <v>30137216.85</v>
      </c>
      <c r="E193" s="438">
        <v>61230421.67</v>
      </c>
      <c r="F193" s="448">
        <v>73206574.83</v>
      </c>
    </row>
    <row r="194" spans="1:6" ht="15">
      <c r="A194" s="437">
        <v>24650501</v>
      </c>
      <c r="B194" s="437" t="s">
        <v>398</v>
      </c>
      <c r="C194" s="438">
        <v>42113370.01</v>
      </c>
      <c r="D194" s="438">
        <v>30137216.85</v>
      </c>
      <c r="E194" s="438">
        <v>61230421.67</v>
      </c>
      <c r="F194" s="448">
        <v>73206574.83</v>
      </c>
    </row>
    <row r="195" spans="1:6" ht="15">
      <c r="A195" s="437">
        <v>2600</v>
      </c>
      <c r="B195" s="437" t="s">
        <v>399</v>
      </c>
      <c r="C195" s="438">
        <v>20651553.62</v>
      </c>
      <c r="D195" s="438">
        <v>18139000</v>
      </c>
      <c r="E195" s="438">
        <v>11583400</v>
      </c>
      <c r="F195" s="457">
        <v>14095953.62</v>
      </c>
    </row>
    <row r="196" spans="1:6" ht="15">
      <c r="A196" s="437">
        <v>2605</v>
      </c>
      <c r="B196" s="437" t="s">
        <v>400</v>
      </c>
      <c r="C196" s="438">
        <v>11970905.53</v>
      </c>
      <c r="D196" s="438">
        <v>0</v>
      </c>
      <c r="E196" s="438">
        <v>0</v>
      </c>
      <c r="F196" s="457">
        <v>11970905.53</v>
      </c>
    </row>
    <row r="197" spans="1:6" ht="15">
      <c r="A197" s="437">
        <v>26050501</v>
      </c>
      <c r="B197" s="437" t="s">
        <v>401</v>
      </c>
      <c r="C197" s="438">
        <v>11970905.53</v>
      </c>
      <c r="D197" s="438">
        <v>0</v>
      </c>
      <c r="E197" s="438">
        <v>0</v>
      </c>
      <c r="F197" s="457">
        <v>11970905.53</v>
      </c>
    </row>
    <row r="198" spans="1:6" ht="15">
      <c r="A198" s="437">
        <v>2610</v>
      </c>
      <c r="B198" s="437" t="s">
        <v>402</v>
      </c>
      <c r="C198" s="438">
        <v>7912648.09</v>
      </c>
      <c r="D198" s="438">
        <v>5850000</v>
      </c>
      <c r="E198" s="438">
        <v>62400</v>
      </c>
      <c r="F198" s="457">
        <v>2125048.09</v>
      </c>
    </row>
    <row r="199" spans="1:6" ht="15">
      <c r="A199" s="437">
        <v>26100501</v>
      </c>
      <c r="B199" s="437" t="s">
        <v>403</v>
      </c>
      <c r="C199" s="438">
        <v>7912648.09</v>
      </c>
      <c r="D199" s="438">
        <v>5850000</v>
      </c>
      <c r="E199" s="438">
        <v>62400</v>
      </c>
      <c r="F199" s="457">
        <v>2125048.09</v>
      </c>
    </row>
    <row r="200" spans="1:6" ht="15">
      <c r="A200" s="437">
        <v>2625</v>
      </c>
      <c r="B200" s="437" t="s">
        <v>608</v>
      </c>
      <c r="C200" s="438">
        <v>768000</v>
      </c>
      <c r="D200" s="438">
        <v>12289000</v>
      </c>
      <c r="E200" s="438">
        <v>11521000</v>
      </c>
      <c r="F200" s="457">
        <v>0</v>
      </c>
    </row>
    <row r="201" spans="1:6" ht="15">
      <c r="A201" s="437">
        <v>26250501</v>
      </c>
      <c r="B201" s="437" t="s">
        <v>89</v>
      </c>
      <c r="C201" s="438">
        <v>768000</v>
      </c>
      <c r="D201" s="438">
        <v>12289000</v>
      </c>
      <c r="E201" s="438">
        <v>11521000</v>
      </c>
      <c r="F201" s="446">
        <v>0</v>
      </c>
    </row>
    <row r="202" spans="1:6" ht="15">
      <c r="A202" s="437">
        <v>2700</v>
      </c>
      <c r="B202" s="437" t="s">
        <v>404</v>
      </c>
      <c r="C202" s="438">
        <v>92083498.92</v>
      </c>
      <c r="D202" s="438">
        <v>80732142.49</v>
      </c>
      <c r="E202" s="438">
        <v>91767718</v>
      </c>
      <c r="F202" s="446">
        <v>103119074.43</v>
      </c>
    </row>
    <row r="203" spans="1:6" ht="15">
      <c r="A203" s="437">
        <v>2710</v>
      </c>
      <c r="B203" s="437" t="s">
        <v>405</v>
      </c>
      <c r="C203" s="438">
        <v>22079654</v>
      </c>
      <c r="D203" s="438">
        <v>15239159</v>
      </c>
      <c r="E203" s="438">
        <v>9937734</v>
      </c>
      <c r="F203" s="449">
        <v>16778229</v>
      </c>
    </row>
    <row r="204" spans="1:6" ht="15">
      <c r="A204" s="437">
        <v>271005</v>
      </c>
      <c r="B204" s="437" t="s">
        <v>406</v>
      </c>
      <c r="C204" s="438">
        <v>22079654</v>
      </c>
      <c r="D204" s="438">
        <v>15239159</v>
      </c>
      <c r="E204" s="438">
        <v>9937734</v>
      </c>
      <c r="F204" s="449">
        <v>16778229</v>
      </c>
    </row>
    <row r="205" spans="1:6" ht="15">
      <c r="A205" s="437">
        <v>24951001</v>
      </c>
      <c r="B205" s="437" t="s">
        <v>395</v>
      </c>
      <c r="C205" s="438">
        <v>0</v>
      </c>
      <c r="D205" s="438">
        <v>8704817</v>
      </c>
      <c r="E205" s="438">
        <v>8704817</v>
      </c>
      <c r="F205" s="449">
        <v>0</v>
      </c>
    </row>
    <row r="206" spans="1:6" ht="15">
      <c r="A206" s="437">
        <v>28250501</v>
      </c>
      <c r="B206" s="437" t="s">
        <v>407</v>
      </c>
      <c r="C206" s="438">
        <v>10960216</v>
      </c>
      <c r="D206" s="438">
        <v>2466494</v>
      </c>
      <c r="E206" s="438">
        <v>769523</v>
      </c>
      <c r="F206" s="449">
        <v>9263245</v>
      </c>
    </row>
    <row r="207" spans="1:6" ht="15">
      <c r="A207" s="437">
        <v>28251001</v>
      </c>
      <c r="B207" s="437" t="s">
        <v>408</v>
      </c>
      <c r="C207" s="438">
        <v>1373366</v>
      </c>
      <c r="D207" s="438">
        <v>296098</v>
      </c>
      <c r="E207" s="438">
        <v>92380</v>
      </c>
      <c r="F207" s="449">
        <v>1169648</v>
      </c>
    </row>
    <row r="208" spans="1:6" ht="15">
      <c r="A208" s="437">
        <v>28251501</v>
      </c>
      <c r="B208" s="437" t="s">
        <v>409</v>
      </c>
      <c r="C208" s="438">
        <v>9746072</v>
      </c>
      <c r="D208" s="438">
        <v>3771750</v>
      </c>
      <c r="E208" s="438">
        <v>371014</v>
      </c>
      <c r="F208" s="449">
        <v>6345336</v>
      </c>
    </row>
    <row r="209" spans="1:6" ht="15">
      <c r="A209" s="437">
        <v>2720</v>
      </c>
      <c r="B209" s="437" t="s">
        <v>411</v>
      </c>
      <c r="C209" s="438">
        <v>34496398.96</v>
      </c>
      <c r="D209" s="438">
        <v>37112369</v>
      </c>
      <c r="E209" s="438">
        <v>69552203</v>
      </c>
      <c r="F209" s="446">
        <v>66936232.96</v>
      </c>
    </row>
    <row r="210" spans="1:6" ht="15">
      <c r="A210" s="437">
        <v>272005</v>
      </c>
      <c r="B210" s="437" t="s">
        <v>412</v>
      </c>
      <c r="C210" s="438">
        <v>4968994</v>
      </c>
      <c r="D210" s="438">
        <v>1898648</v>
      </c>
      <c r="E210" s="438">
        <v>2444482</v>
      </c>
      <c r="F210" s="451">
        <v>5514828</v>
      </c>
    </row>
    <row r="211" spans="1:6" ht="15">
      <c r="A211" s="437">
        <v>27250501</v>
      </c>
      <c r="B211" s="437" t="s">
        <v>413</v>
      </c>
      <c r="C211" s="438">
        <v>4968994</v>
      </c>
      <c r="D211" s="438">
        <v>1898648</v>
      </c>
      <c r="E211" s="438">
        <v>2444482</v>
      </c>
      <c r="F211" s="451">
        <v>5514828</v>
      </c>
    </row>
    <row r="212" spans="1:7" ht="15">
      <c r="A212" s="437">
        <v>272095</v>
      </c>
      <c r="B212" s="437" t="s">
        <v>338</v>
      </c>
      <c r="C212" s="438">
        <v>29527404.96</v>
      </c>
      <c r="D212" s="438">
        <v>35213721</v>
      </c>
      <c r="E212" s="438">
        <v>67107721</v>
      </c>
      <c r="F212" s="446">
        <v>61421404.96</v>
      </c>
      <c r="G212" s="452"/>
    </row>
    <row r="213" spans="1:6" ht="15">
      <c r="A213" s="437">
        <v>24959506</v>
      </c>
      <c r="B213" s="437" t="s">
        <v>414</v>
      </c>
      <c r="C213" s="438">
        <v>0</v>
      </c>
      <c r="D213" s="438">
        <v>4908766</v>
      </c>
      <c r="E213" s="438">
        <v>6039611</v>
      </c>
      <c r="F213" s="456">
        <v>1130845</v>
      </c>
    </row>
    <row r="214" spans="1:6" ht="15">
      <c r="A214" s="437">
        <v>27209501</v>
      </c>
      <c r="B214" s="437" t="s">
        <v>727</v>
      </c>
      <c r="C214" s="438">
        <v>28314548</v>
      </c>
      <c r="D214" s="438">
        <v>28180548</v>
      </c>
      <c r="E214" s="438">
        <v>58772510</v>
      </c>
      <c r="F214" s="456">
        <v>58906510</v>
      </c>
    </row>
    <row r="215" spans="1:6" ht="15">
      <c r="A215" s="437">
        <v>27950501</v>
      </c>
      <c r="B215" s="437" t="s">
        <v>415</v>
      </c>
      <c r="C215" s="438">
        <v>1212856.96</v>
      </c>
      <c r="D215" s="438">
        <v>2124407</v>
      </c>
      <c r="E215" s="438">
        <v>2295600</v>
      </c>
      <c r="F215" s="456">
        <v>1384049.96</v>
      </c>
    </row>
    <row r="216" spans="1:6" ht="15">
      <c r="A216" s="437">
        <v>2725</v>
      </c>
      <c r="B216" s="437" t="s">
        <v>416</v>
      </c>
      <c r="C216" s="438">
        <v>35507445.96</v>
      </c>
      <c r="D216" s="438">
        <v>28380614.49</v>
      </c>
      <c r="E216" s="438">
        <v>12277781</v>
      </c>
      <c r="F216" s="450">
        <v>19404612.47</v>
      </c>
    </row>
    <row r="217" spans="1:6" ht="15">
      <c r="A217" s="437">
        <v>272505</v>
      </c>
      <c r="B217" s="437" t="s">
        <v>417</v>
      </c>
      <c r="C217" s="438">
        <v>35507445.96</v>
      </c>
      <c r="D217" s="438">
        <v>28380614.49</v>
      </c>
      <c r="E217" s="438">
        <v>12277781</v>
      </c>
      <c r="F217" s="450">
        <v>19404612.47</v>
      </c>
    </row>
    <row r="218" spans="1:6" ht="15">
      <c r="A218" s="437">
        <v>24959503</v>
      </c>
      <c r="B218" s="437" t="s">
        <v>394</v>
      </c>
      <c r="C218" s="438">
        <v>4300640</v>
      </c>
      <c r="D218" s="438">
        <v>123000</v>
      </c>
      <c r="E218" s="438">
        <v>524000</v>
      </c>
      <c r="F218" s="450">
        <v>4701640</v>
      </c>
    </row>
    <row r="219" spans="1:6" ht="15">
      <c r="A219" s="437">
        <v>27400501</v>
      </c>
      <c r="B219" s="437" t="s">
        <v>418</v>
      </c>
      <c r="C219" s="438">
        <v>27915076.86</v>
      </c>
      <c r="D219" s="438">
        <v>24715275.49</v>
      </c>
      <c r="E219" s="438">
        <v>8326296</v>
      </c>
      <c r="F219" s="450">
        <v>11526097.37</v>
      </c>
    </row>
    <row r="220" spans="1:6" ht="15">
      <c r="A220" s="437">
        <v>27400502</v>
      </c>
      <c r="B220" s="437" t="s">
        <v>482</v>
      </c>
      <c r="C220" s="438">
        <v>0</v>
      </c>
      <c r="D220" s="438">
        <v>3354573</v>
      </c>
      <c r="E220" s="438">
        <v>3354573</v>
      </c>
      <c r="F220" s="450">
        <v>0</v>
      </c>
    </row>
    <row r="221" spans="1:6" ht="15">
      <c r="A221" s="437">
        <v>27400503</v>
      </c>
      <c r="B221" s="437" t="s">
        <v>80</v>
      </c>
      <c r="C221" s="438">
        <v>808599.1</v>
      </c>
      <c r="D221" s="438">
        <v>0</v>
      </c>
      <c r="E221" s="438">
        <v>0</v>
      </c>
      <c r="F221" s="450">
        <v>808599.1</v>
      </c>
    </row>
    <row r="222" spans="1:6" ht="15">
      <c r="A222" s="437">
        <v>27400505</v>
      </c>
      <c r="B222" s="437" t="s">
        <v>419</v>
      </c>
      <c r="C222" s="438">
        <v>2483130</v>
      </c>
      <c r="D222" s="438">
        <v>187766</v>
      </c>
      <c r="E222" s="438">
        <v>72912</v>
      </c>
      <c r="F222" s="450">
        <v>2368276</v>
      </c>
    </row>
    <row r="223" spans="1:6" ht="15">
      <c r="A223" s="437">
        <v>2800</v>
      </c>
      <c r="B223" s="437" t="s">
        <v>728</v>
      </c>
      <c r="C223" s="438">
        <v>269333855</v>
      </c>
      <c r="D223" s="438">
        <v>269333855</v>
      </c>
      <c r="E223" s="438">
        <v>0</v>
      </c>
      <c r="F223" s="446">
        <v>0</v>
      </c>
    </row>
    <row r="224" spans="1:6" ht="15">
      <c r="A224" s="437">
        <v>2835</v>
      </c>
      <c r="B224" s="437" t="s">
        <v>729</v>
      </c>
      <c r="C224" s="438">
        <v>269333855</v>
      </c>
      <c r="D224" s="438">
        <v>269333855</v>
      </c>
      <c r="E224" s="438">
        <v>0</v>
      </c>
      <c r="F224" s="446">
        <v>0</v>
      </c>
    </row>
    <row r="225" spans="1:6" ht="15">
      <c r="A225" s="437">
        <v>28350001</v>
      </c>
      <c r="B225" s="437" t="s">
        <v>730</v>
      </c>
      <c r="C225" s="438">
        <v>269333855</v>
      </c>
      <c r="D225" s="438">
        <v>269333855</v>
      </c>
      <c r="E225" s="438">
        <v>0</v>
      </c>
      <c r="F225" s="446">
        <v>0</v>
      </c>
    </row>
    <row r="226" spans="1:6" ht="15">
      <c r="A226" s="437">
        <v>3000</v>
      </c>
      <c r="B226" s="437" t="s">
        <v>65</v>
      </c>
      <c r="C226" s="438">
        <v>7520135127.42</v>
      </c>
      <c r="D226" s="438">
        <v>99879597.39</v>
      </c>
      <c r="E226" s="438">
        <v>97845133</v>
      </c>
      <c r="F226" s="446">
        <v>7518100663.03</v>
      </c>
    </row>
    <row r="227" spans="1:6" ht="15">
      <c r="A227" s="437">
        <v>3100</v>
      </c>
      <c r="B227" s="437" t="s">
        <v>420</v>
      </c>
      <c r="C227" s="438">
        <v>6314603477.91</v>
      </c>
      <c r="D227" s="438">
        <v>99879597.39</v>
      </c>
      <c r="E227" s="438">
        <v>97845133</v>
      </c>
      <c r="F227" s="446">
        <v>6312569013.52</v>
      </c>
    </row>
    <row r="228" spans="1:6" ht="15">
      <c r="A228" s="437">
        <v>3105</v>
      </c>
      <c r="B228" s="437" t="s">
        <v>421</v>
      </c>
      <c r="C228" s="438">
        <v>6314603477.91</v>
      </c>
      <c r="D228" s="438">
        <v>99879597.39</v>
      </c>
      <c r="E228" s="438">
        <v>97845133</v>
      </c>
      <c r="F228" s="446">
        <v>6312569013.52</v>
      </c>
    </row>
    <row r="229" spans="1:6" ht="15">
      <c r="A229" s="437">
        <v>310505</v>
      </c>
      <c r="B229" s="437" t="s">
        <v>422</v>
      </c>
      <c r="C229" s="438">
        <v>6314603477.91</v>
      </c>
      <c r="D229" s="438">
        <v>99879597.39</v>
      </c>
      <c r="E229" s="438">
        <v>97845133</v>
      </c>
      <c r="F229" s="446">
        <v>6312569013.52</v>
      </c>
    </row>
    <row r="230" spans="1:6" ht="15">
      <c r="A230" s="437">
        <v>31050501</v>
      </c>
      <c r="B230" s="437" t="s">
        <v>66</v>
      </c>
      <c r="C230" s="438">
        <v>6314603477.91</v>
      </c>
      <c r="D230" s="438">
        <v>99879597.39</v>
      </c>
      <c r="E230" s="438">
        <v>97845133</v>
      </c>
      <c r="F230" s="446">
        <v>6312569013.52</v>
      </c>
    </row>
    <row r="231" spans="1:6" ht="15">
      <c r="A231" s="437">
        <v>3200</v>
      </c>
      <c r="B231" s="437" t="s">
        <v>423</v>
      </c>
      <c r="C231" s="438">
        <v>473358467.95</v>
      </c>
      <c r="D231" s="438">
        <v>0</v>
      </c>
      <c r="E231" s="438">
        <v>0</v>
      </c>
      <c r="F231" s="446">
        <v>473358467.95</v>
      </c>
    </row>
    <row r="232" spans="1:6" ht="15">
      <c r="A232" s="437">
        <v>3205</v>
      </c>
      <c r="B232" s="437" t="s">
        <v>424</v>
      </c>
      <c r="C232" s="438">
        <v>449825177.35</v>
      </c>
      <c r="D232" s="438">
        <v>0</v>
      </c>
      <c r="E232" s="438">
        <v>0</v>
      </c>
      <c r="F232" s="446">
        <v>449825177.35</v>
      </c>
    </row>
    <row r="233" spans="1:6" ht="15">
      <c r="A233" s="437">
        <v>32050501</v>
      </c>
      <c r="B233" s="437" t="s">
        <v>425</v>
      </c>
      <c r="C233" s="438">
        <v>449825177.35</v>
      </c>
      <c r="D233" s="438">
        <v>0</v>
      </c>
      <c r="E233" s="438">
        <v>0</v>
      </c>
      <c r="F233" s="446">
        <v>449825177.35</v>
      </c>
    </row>
    <row r="234" spans="1:6" ht="15">
      <c r="A234" s="437">
        <v>3280</v>
      </c>
      <c r="B234" s="437" t="s">
        <v>426</v>
      </c>
      <c r="C234" s="438">
        <v>23533290.6</v>
      </c>
      <c r="D234" s="438">
        <v>0</v>
      </c>
      <c r="E234" s="438">
        <v>0</v>
      </c>
      <c r="F234" s="446">
        <v>23533290.6</v>
      </c>
    </row>
    <row r="235" spans="1:6" ht="15">
      <c r="A235" s="437">
        <v>32800501</v>
      </c>
      <c r="B235" s="437" t="s">
        <v>73</v>
      </c>
      <c r="C235" s="438">
        <v>23533290.6</v>
      </c>
      <c r="D235" s="438">
        <v>0</v>
      </c>
      <c r="E235" s="438">
        <v>0</v>
      </c>
      <c r="F235" s="446">
        <v>23533290.6</v>
      </c>
    </row>
    <row r="236" spans="1:6" ht="15">
      <c r="A236" s="437">
        <v>3300</v>
      </c>
      <c r="B236" s="437" t="s">
        <v>427</v>
      </c>
      <c r="C236" s="438">
        <v>267483181.56</v>
      </c>
      <c r="D236" s="438">
        <v>0</v>
      </c>
      <c r="E236" s="438">
        <v>0</v>
      </c>
      <c r="F236" s="446">
        <v>267483181.56</v>
      </c>
    </row>
    <row r="237" spans="1:6" ht="15">
      <c r="A237" s="437">
        <v>3305</v>
      </c>
      <c r="B237" s="437" t="s">
        <v>428</v>
      </c>
      <c r="C237" s="438">
        <v>14745982.71</v>
      </c>
      <c r="D237" s="438">
        <v>0</v>
      </c>
      <c r="E237" s="438">
        <v>0</v>
      </c>
      <c r="F237" s="446">
        <v>14745982.71</v>
      </c>
    </row>
    <row r="238" spans="1:6" ht="15">
      <c r="A238" s="437">
        <v>33050501</v>
      </c>
      <c r="B238" s="437" t="s">
        <v>429</v>
      </c>
      <c r="C238" s="438">
        <v>14745982.71</v>
      </c>
      <c r="D238" s="438">
        <v>0</v>
      </c>
      <c r="E238" s="438">
        <v>0</v>
      </c>
      <c r="F238" s="446">
        <v>14745982.71</v>
      </c>
    </row>
    <row r="239" spans="1:6" ht="15">
      <c r="A239" s="437">
        <v>3325</v>
      </c>
      <c r="B239" s="437" t="s">
        <v>430</v>
      </c>
      <c r="C239" s="438">
        <v>10977610.85</v>
      </c>
      <c r="D239" s="438">
        <v>0</v>
      </c>
      <c r="E239" s="438">
        <v>0</v>
      </c>
      <c r="F239" s="446">
        <v>10977610.85</v>
      </c>
    </row>
    <row r="240" spans="1:6" ht="15">
      <c r="A240" s="437">
        <v>33250501</v>
      </c>
      <c r="B240" s="437" t="s">
        <v>431</v>
      </c>
      <c r="C240" s="438">
        <v>10977610.85</v>
      </c>
      <c r="D240" s="438">
        <v>0</v>
      </c>
      <c r="E240" s="438">
        <v>0</v>
      </c>
      <c r="F240" s="446">
        <v>10977610.85</v>
      </c>
    </row>
    <row r="241" spans="1:6" ht="15">
      <c r="A241" s="437">
        <v>3330</v>
      </c>
      <c r="B241" s="437" t="s">
        <v>432</v>
      </c>
      <c r="C241" s="438">
        <v>241759588</v>
      </c>
      <c r="D241" s="438">
        <v>0</v>
      </c>
      <c r="E241" s="438">
        <v>0</v>
      </c>
      <c r="F241" s="446">
        <v>241759588</v>
      </c>
    </row>
    <row r="242" spans="1:6" ht="15">
      <c r="A242" s="437">
        <v>33300501</v>
      </c>
      <c r="B242" s="437" t="s">
        <v>433</v>
      </c>
      <c r="C242" s="438">
        <v>185000000</v>
      </c>
      <c r="D242" s="438">
        <v>0</v>
      </c>
      <c r="E242" s="438">
        <v>0</v>
      </c>
      <c r="F242" s="446">
        <v>185000000</v>
      </c>
    </row>
    <row r="243" spans="1:6" ht="15">
      <c r="A243" s="437">
        <v>33300502</v>
      </c>
      <c r="B243" s="437" t="s">
        <v>434</v>
      </c>
      <c r="C243" s="438">
        <v>20588388</v>
      </c>
      <c r="D243" s="438">
        <v>0</v>
      </c>
      <c r="E243" s="438">
        <v>0</v>
      </c>
      <c r="F243" s="446">
        <v>20588388</v>
      </c>
    </row>
    <row r="244" spans="1:6" ht="15">
      <c r="A244" s="437">
        <v>33300503</v>
      </c>
      <c r="B244" s="437" t="s">
        <v>435</v>
      </c>
      <c r="C244" s="438">
        <v>36171200</v>
      </c>
      <c r="D244" s="438">
        <v>0</v>
      </c>
      <c r="E244" s="438">
        <v>0</v>
      </c>
      <c r="F244" s="446">
        <v>36171200</v>
      </c>
    </row>
    <row r="245" spans="1:6" ht="15">
      <c r="A245" s="437">
        <v>3700</v>
      </c>
      <c r="B245" s="437" t="s">
        <v>436</v>
      </c>
      <c r="C245" s="438">
        <v>464690000</v>
      </c>
      <c r="D245" s="438">
        <v>0</v>
      </c>
      <c r="E245" s="438">
        <v>0</v>
      </c>
      <c r="F245" s="446">
        <v>464690000</v>
      </c>
    </row>
    <row r="246" spans="1:6" ht="15">
      <c r="A246" s="437">
        <v>3705</v>
      </c>
      <c r="B246" s="437" t="s">
        <v>437</v>
      </c>
      <c r="C246" s="438">
        <v>464690000</v>
      </c>
      <c r="D246" s="438">
        <v>0</v>
      </c>
      <c r="E246" s="438">
        <v>0</v>
      </c>
      <c r="F246" s="446">
        <v>464690000</v>
      </c>
    </row>
    <row r="247" spans="1:6" ht="15">
      <c r="A247" s="437">
        <v>37050001</v>
      </c>
      <c r="B247" s="437" t="s">
        <v>438</v>
      </c>
      <c r="C247" s="438">
        <v>464690000</v>
      </c>
      <c r="D247" s="438">
        <v>0</v>
      </c>
      <c r="E247" s="438">
        <v>0</v>
      </c>
      <c r="F247" s="446">
        <v>464690000</v>
      </c>
    </row>
    <row r="248" spans="1:6" ht="15">
      <c r="A248" s="437">
        <v>4000</v>
      </c>
      <c r="B248" s="437" t="s">
        <v>439</v>
      </c>
      <c r="C248" s="438">
        <v>846523712.09</v>
      </c>
      <c r="D248" s="438">
        <v>17</v>
      </c>
      <c r="E248" s="438">
        <v>99336466.82</v>
      </c>
      <c r="F248" s="446">
        <v>945860161.91</v>
      </c>
    </row>
    <row r="249" spans="1:6" ht="15">
      <c r="A249" s="437">
        <v>4100</v>
      </c>
      <c r="B249" s="437" t="s">
        <v>440</v>
      </c>
      <c r="C249" s="438">
        <v>657944512.17</v>
      </c>
      <c r="D249" s="438">
        <v>17</v>
      </c>
      <c r="E249" s="438">
        <v>73156367.16</v>
      </c>
      <c r="F249" s="446">
        <v>731100862.33</v>
      </c>
    </row>
    <row r="250" spans="1:6" ht="15">
      <c r="A250" s="437">
        <v>4150</v>
      </c>
      <c r="B250" s="437" t="s">
        <v>441</v>
      </c>
      <c r="C250" s="438">
        <v>657944512.17</v>
      </c>
      <c r="D250" s="438">
        <v>17</v>
      </c>
      <c r="E250" s="438">
        <v>73156367.16</v>
      </c>
      <c r="F250" s="446">
        <v>731100862.33</v>
      </c>
    </row>
    <row r="251" spans="1:6" ht="15">
      <c r="A251" s="437">
        <v>415010</v>
      </c>
      <c r="B251" s="437" t="s">
        <v>442</v>
      </c>
      <c r="C251" s="438">
        <v>651243062.17</v>
      </c>
      <c r="D251" s="438">
        <v>17</v>
      </c>
      <c r="E251" s="438">
        <v>71035082.16</v>
      </c>
      <c r="F251" s="446">
        <v>722278127.33</v>
      </c>
    </row>
    <row r="252" spans="1:6" ht="15">
      <c r="A252" s="437">
        <v>4185100101</v>
      </c>
      <c r="B252" s="437" t="s">
        <v>443</v>
      </c>
      <c r="C252" s="438">
        <v>651243062.17</v>
      </c>
      <c r="D252" s="438">
        <v>17</v>
      </c>
      <c r="E252" s="438">
        <v>71035082.16</v>
      </c>
      <c r="F252" s="446">
        <v>722278127.33</v>
      </c>
    </row>
    <row r="253" spans="1:6" ht="15">
      <c r="A253" s="437">
        <v>415040</v>
      </c>
      <c r="B253" s="437" t="s">
        <v>445</v>
      </c>
      <c r="C253" s="438">
        <v>6701450</v>
      </c>
      <c r="D253" s="438">
        <v>0</v>
      </c>
      <c r="E253" s="438">
        <v>2121285</v>
      </c>
      <c r="F253" s="446">
        <v>8822735</v>
      </c>
    </row>
    <row r="254" spans="1:6" ht="15">
      <c r="A254" s="437">
        <v>4185100201</v>
      </c>
      <c r="B254" s="437" t="s">
        <v>446</v>
      </c>
      <c r="C254" s="438">
        <v>6701450</v>
      </c>
      <c r="D254" s="438">
        <v>0</v>
      </c>
      <c r="E254" s="438">
        <v>2121285</v>
      </c>
      <c r="F254" s="446">
        <v>8822735</v>
      </c>
    </row>
    <row r="255" spans="1:6" ht="15">
      <c r="A255" s="437">
        <v>4200</v>
      </c>
      <c r="B255" s="437" t="s">
        <v>447</v>
      </c>
      <c r="C255" s="438">
        <v>188579199.92</v>
      </c>
      <c r="D255" s="438">
        <v>0</v>
      </c>
      <c r="E255" s="438">
        <v>26180099.66</v>
      </c>
      <c r="F255" s="446">
        <v>214759299.58</v>
      </c>
    </row>
    <row r="256" spans="1:6" ht="15">
      <c r="A256" s="437">
        <v>4210</v>
      </c>
      <c r="B256" s="437" t="s">
        <v>611</v>
      </c>
      <c r="C256" s="438">
        <v>79180977</v>
      </c>
      <c r="D256" s="438">
        <v>0</v>
      </c>
      <c r="E256" s="438">
        <v>5714065</v>
      </c>
      <c r="F256" s="446">
        <v>84895042</v>
      </c>
    </row>
    <row r="257" spans="1:6" ht="15">
      <c r="A257" s="437">
        <v>421005</v>
      </c>
      <c r="B257" s="437" t="s">
        <v>612</v>
      </c>
      <c r="C257" s="438">
        <v>60580258</v>
      </c>
      <c r="D257" s="438">
        <v>0</v>
      </c>
      <c r="E257" s="438">
        <v>5714065</v>
      </c>
      <c r="F257" s="446">
        <v>66294323</v>
      </c>
    </row>
    <row r="258" spans="1:6" ht="15">
      <c r="A258" s="437">
        <v>42100502</v>
      </c>
      <c r="B258" s="437" t="s">
        <v>449</v>
      </c>
      <c r="C258" s="438">
        <v>60566141</v>
      </c>
      <c r="D258" s="438">
        <v>0</v>
      </c>
      <c r="E258" s="438">
        <v>5708456</v>
      </c>
      <c r="F258" s="446">
        <v>66274597</v>
      </c>
    </row>
    <row r="259" spans="1:6" ht="15">
      <c r="A259" s="437">
        <v>42100503</v>
      </c>
      <c r="B259" s="437" t="s">
        <v>731</v>
      </c>
      <c r="C259" s="438">
        <v>14117</v>
      </c>
      <c r="D259" s="438">
        <v>0</v>
      </c>
      <c r="E259" s="438">
        <v>5609</v>
      </c>
      <c r="F259" s="446">
        <v>19726</v>
      </c>
    </row>
    <row r="260" spans="1:6" ht="15">
      <c r="A260" s="437">
        <v>421025</v>
      </c>
      <c r="B260" s="437" t="s">
        <v>732</v>
      </c>
      <c r="C260" s="438">
        <v>18600719</v>
      </c>
      <c r="D260" s="438">
        <v>0</v>
      </c>
      <c r="E260" s="438">
        <v>0</v>
      </c>
      <c r="F260" s="446">
        <v>18600719</v>
      </c>
    </row>
    <row r="261" spans="1:6" ht="15">
      <c r="A261" s="437">
        <v>42200501</v>
      </c>
      <c r="B261" s="437" t="s">
        <v>733</v>
      </c>
      <c r="C261" s="438">
        <v>18600719</v>
      </c>
      <c r="D261" s="438">
        <v>0</v>
      </c>
      <c r="E261" s="438">
        <v>0</v>
      </c>
      <c r="F261" s="446">
        <v>18600719</v>
      </c>
    </row>
    <row r="262" spans="1:6" ht="15">
      <c r="A262" s="437">
        <v>4220</v>
      </c>
      <c r="B262" s="437" t="s">
        <v>447</v>
      </c>
      <c r="C262" s="438">
        <v>1301913</v>
      </c>
      <c r="D262" s="438">
        <v>0</v>
      </c>
      <c r="E262" s="438">
        <v>80649</v>
      </c>
      <c r="F262" s="446">
        <v>1382562</v>
      </c>
    </row>
    <row r="263" spans="1:6" ht="15">
      <c r="A263" s="437">
        <v>422004</v>
      </c>
      <c r="B263" s="437" t="s">
        <v>613</v>
      </c>
      <c r="C263" s="438">
        <v>208881</v>
      </c>
      <c r="D263" s="438">
        <v>0</v>
      </c>
      <c r="E263" s="438">
        <v>80649</v>
      </c>
      <c r="F263" s="446">
        <v>289530</v>
      </c>
    </row>
    <row r="264" spans="1:6" ht="15">
      <c r="A264" s="437">
        <v>42100501</v>
      </c>
      <c r="B264" s="437" t="s">
        <v>614</v>
      </c>
      <c r="C264" s="438">
        <v>208881</v>
      </c>
      <c r="D264" s="438">
        <v>0</v>
      </c>
      <c r="E264" s="438">
        <v>80649</v>
      </c>
      <c r="F264" s="446">
        <v>289530</v>
      </c>
    </row>
    <row r="265" spans="1:6" ht="15">
      <c r="A265" s="437">
        <v>422005</v>
      </c>
      <c r="B265" s="437" t="s">
        <v>615</v>
      </c>
      <c r="C265" s="438">
        <v>1093032</v>
      </c>
      <c r="D265" s="438">
        <v>0</v>
      </c>
      <c r="E265" s="438">
        <v>0</v>
      </c>
      <c r="F265" s="446">
        <v>1093032</v>
      </c>
    </row>
    <row r="266" spans="1:6" ht="15">
      <c r="A266" s="437">
        <v>42200502</v>
      </c>
      <c r="B266" s="437" t="s">
        <v>734</v>
      </c>
      <c r="C266" s="438">
        <v>886003</v>
      </c>
      <c r="D266" s="438">
        <v>0</v>
      </c>
      <c r="E266" s="438">
        <v>0</v>
      </c>
      <c r="F266" s="446">
        <v>886003</v>
      </c>
    </row>
    <row r="267" spans="1:6" ht="15">
      <c r="A267" s="437">
        <v>42409501</v>
      </c>
      <c r="B267" s="437" t="s">
        <v>735</v>
      </c>
      <c r="C267" s="438">
        <v>207029</v>
      </c>
      <c r="D267" s="438">
        <v>0</v>
      </c>
      <c r="E267" s="438">
        <v>0</v>
      </c>
      <c r="F267" s="446">
        <v>207029</v>
      </c>
    </row>
    <row r="268" spans="1:6" ht="15">
      <c r="A268" s="437">
        <v>4225</v>
      </c>
      <c r="B268" s="437" t="s">
        <v>451</v>
      </c>
      <c r="C268" s="438">
        <v>108096309.92</v>
      </c>
      <c r="D268" s="438">
        <v>0</v>
      </c>
      <c r="E268" s="438">
        <v>20385385.66</v>
      </c>
      <c r="F268" s="446">
        <v>128481695.58</v>
      </c>
    </row>
    <row r="269" spans="1:6" ht="15">
      <c r="A269" s="437">
        <v>422512</v>
      </c>
      <c r="B269" s="437" t="s">
        <v>452</v>
      </c>
      <c r="C269" s="438">
        <v>87703455.92</v>
      </c>
      <c r="D269" s="438">
        <v>0</v>
      </c>
      <c r="E269" s="438">
        <v>15747094.66</v>
      </c>
      <c r="F269" s="446">
        <v>103450550.58</v>
      </c>
    </row>
    <row r="270" spans="1:6" ht="15">
      <c r="A270" s="437">
        <v>41801601</v>
      </c>
      <c r="B270" s="437" t="s">
        <v>736</v>
      </c>
      <c r="C270" s="438">
        <v>86424393.92</v>
      </c>
      <c r="D270" s="438">
        <v>0</v>
      </c>
      <c r="E270" s="438">
        <v>15747094.66</v>
      </c>
      <c r="F270" s="446">
        <v>102171488.58</v>
      </c>
    </row>
    <row r="271" spans="1:6" ht="15">
      <c r="A271" s="437">
        <v>42251201</v>
      </c>
      <c r="B271" s="437" t="s">
        <v>737</v>
      </c>
      <c r="C271" s="438">
        <v>1279062</v>
      </c>
      <c r="D271" s="438">
        <v>0</v>
      </c>
      <c r="E271" s="438">
        <v>0</v>
      </c>
      <c r="F271" s="446">
        <v>1279062</v>
      </c>
    </row>
    <row r="272" spans="1:6" ht="15">
      <c r="A272" s="437">
        <v>422513</v>
      </c>
      <c r="B272" s="437" t="s">
        <v>738</v>
      </c>
      <c r="C272" s="438">
        <v>20392854</v>
      </c>
      <c r="D272" s="438">
        <v>0</v>
      </c>
      <c r="E272" s="438">
        <v>4638291</v>
      </c>
      <c r="F272" s="446">
        <v>25031145</v>
      </c>
    </row>
    <row r="273" spans="1:6" ht="15">
      <c r="A273" s="437">
        <v>41501101</v>
      </c>
      <c r="B273" s="437" t="s">
        <v>739</v>
      </c>
      <c r="C273" s="438">
        <v>8249158</v>
      </c>
      <c r="D273" s="438">
        <v>0</v>
      </c>
      <c r="E273" s="438">
        <v>0</v>
      </c>
      <c r="F273" s="446">
        <v>8249158</v>
      </c>
    </row>
    <row r="274" spans="1:6" ht="15">
      <c r="A274" s="437">
        <v>42251301</v>
      </c>
      <c r="B274" s="437" t="s">
        <v>740</v>
      </c>
      <c r="C274" s="438">
        <v>312712</v>
      </c>
      <c r="D274" s="438">
        <v>0</v>
      </c>
      <c r="E274" s="438">
        <v>0</v>
      </c>
      <c r="F274" s="446">
        <v>312712</v>
      </c>
    </row>
    <row r="275" spans="1:6" ht="15">
      <c r="A275" s="437">
        <v>42251302</v>
      </c>
      <c r="B275" s="437" t="s">
        <v>741</v>
      </c>
      <c r="C275" s="438">
        <v>11830984</v>
      </c>
      <c r="D275" s="438">
        <v>0</v>
      </c>
      <c r="E275" s="438">
        <v>4638291</v>
      </c>
      <c r="F275" s="446">
        <v>16469275</v>
      </c>
    </row>
    <row r="276" spans="1:6" ht="15">
      <c r="A276" s="437">
        <v>5000</v>
      </c>
      <c r="B276" s="437" t="s">
        <v>454</v>
      </c>
      <c r="C276" s="438">
        <v>764464992.28</v>
      </c>
      <c r="D276" s="438">
        <v>90720881.42</v>
      </c>
      <c r="E276" s="438">
        <v>39467729.24</v>
      </c>
      <c r="F276" s="446">
        <v>815718144.46</v>
      </c>
    </row>
    <row r="277" spans="1:6" ht="15">
      <c r="A277" s="437">
        <v>5100</v>
      </c>
      <c r="B277" s="437" t="s">
        <v>455</v>
      </c>
      <c r="C277" s="438">
        <v>742511028.15</v>
      </c>
      <c r="D277" s="438">
        <v>87350544.42</v>
      </c>
      <c r="E277" s="438">
        <v>39467727.52</v>
      </c>
      <c r="F277" s="446">
        <v>790393845.05</v>
      </c>
    </row>
    <row r="278" spans="1:6" ht="15">
      <c r="A278" s="437">
        <v>5105</v>
      </c>
      <c r="B278" s="437" t="s">
        <v>456</v>
      </c>
      <c r="C278" s="438">
        <v>213023800</v>
      </c>
      <c r="D278" s="438">
        <v>18377379</v>
      </c>
      <c r="E278" s="438">
        <v>45292</v>
      </c>
      <c r="F278" s="446">
        <v>231355887</v>
      </c>
    </row>
    <row r="279" spans="1:6" ht="15">
      <c r="A279" s="437">
        <v>510503</v>
      </c>
      <c r="B279" s="437" t="s">
        <v>457</v>
      </c>
      <c r="C279" s="438">
        <v>146911860</v>
      </c>
      <c r="D279" s="438">
        <v>11092660</v>
      </c>
      <c r="E279" s="438">
        <v>0</v>
      </c>
      <c r="F279" s="446">
        <v>158004520</v>
      </c>
    </row>
    <row r="280" spans="1:6" ht="15">
      <c r="A280" s="437">
        <v>51050601</v>
      </c>
      <c r="B280" s="437" t="s">
        <v>458</v>
      </c>
      <c r="C280" s="438">
        <v>146911860</v>
      </c>
      <c r="D280" s="438">
        <v>11092660</v>
      </c>
      <c r="E280" s="438">
        <v>0</v>
      </c>
      <c r="F280" s="446">
        <v>158004520</v>
      </c>
    </row>
    <row r="281" spans="1:6" ht="15">
      <c r="A281" s="437">
        <v>510509</v>
      </c>
      <c r="B281" s="437" t="s">
        <v>459</v>
      </c>
      <c r="C281" s="438">
        <v>3434916</v>
      </c>
      <c r="D281" s="438">
        <v>319362</v>
      </c>
      <c r="E281" s="438">
        <v>0</v>
      </c>
      <c r="F281" s="446">
        <v>3754278</v>
      </c>
    </row>
    <row r="282" spans="1:6" ht="15">
      <c r="A282" s="437">
        <v>51052701</v>
      </c>
      <c r="B282" s="437" t="s">
        <v>460</v>
      </c>
      <c r="C282" s="438">
        <v>3434916</v>
      </c>
      <c r="D282" s="438">
        <v>319362</v>
      </c>
      <c r="E282" s="438">
        <v>0</v>
      </c>
      <c r="F282" s="446">
        <v>3754278</v>
      </c>
    </row>
    <row r="283" spans="1:6" ht="15">
      <c r="A283" s="437">
        <v>510510</v>
      </c>
      <c r="B283" s="437" t="s">
        <v>461</v>
      </c>
      <c r="C283" s="438">
        <v>12862467</v>
      </c>
      <c r="D283" s="438">
        <v>975237</v>
      </c>
      <c r="E283" s="438">
        <v>0</v>
      </c>
      <c r="F283" s="446">
        <v>13837704</v>
      </c>
    </row>
    <row r="284" spans="1:6" ht="15">
      <c r="A284" s="437">
        <v>51053001</v>
      </c>
      <c r="B284" s="437" t="s">
        <v>462</v>
      </c>
      <c r="C284" s="438">
        <v>12862467</v>
      </c>
      <c r="D284" s="438">
        <v>975237</v>
      </c>
      <c r="E284" s="438">
        <v>0</v>
      </c>
      <c r="F284" s="446">
        <v>13837704</v>
      </c>
    </row>
    <row r="285" spans="1:6" ht="15">
      <c r="A285" s="437">
        <v>510511</v>
      </c>
      <c r="B285" s="437" t="s">
        <v>463</v>
      </c>
      <c r="C285" s="438">
        <v>1533155</v>
      </c>
      <c r="D285" s="438">
        <v>111603</v>
      </c>
      <c r="E285" s="438">
        <v>0</v>
      </c>
      <c r="F285" s="446">
        <v>1644758</v>
      </c>
    </row>
    <row r="286" spans="1:6" ht="15">
      <c r="A286" s="437">
        <v>51053301</v>
      </c>
      <c r="B286" s="437" t="s">
        <v>464</v>
      </c>
      <c r="C286" s="438">
        <v>1533155</v>
      </c>
      <c r="D286" s="438">
        <v>111603</v>
      </c>
      <c r="E286" s="438">
        <v>0</v>
      </c>
      <c r="F286" s="446">
        <v>1644758</v>
      </c>
    </row>
    <row r="287" spans="1:6" ht="15">
      <c r="A287" s="437">
        <v>510512</v>
      </c>
      <c r="B287" s="437" t="s">
        <v>465</v>
      </c>
      <c r="C287" s="438">
        <v>13827655</v>
      </c>
      <c r="D287" s="438">
        <v>0</v>
      </c>
      <c r="E287" s="438">
        <v>45292</v>
      </c>
      <c r="F287" s="446">
        <v>13782363</v>
      </c>
    </row>
    <row r="288" spans="1:6" ht="15">
      <c r="A288" s="437">
        <v>51053601</v>
      </c>
      <c r="B288" s="437" t="s">
        <v>466</v>
      </c>
      <c r="C288" s="438">
        <v>13827655</v>
      </c>
      <c r="D288" s="438">
        <v>0</v>
      </c>
      <c r="E288" s="438">
        <v>45292</v>
      </c>
      <c r="F288" s="446">
        <v>13782363</v>
      </c>
    </row>
    <row r="289" spans="1:6" ht="15">
      <c r="A289" s="437">
        <v>510516</v>
      </c>
      <c r="B289" s="437" t="s">
        <v>467</v>
      </c>
      <c r="C289" s="438">
        <v>7631775</v>
      </c>
      <c r="D289" s="438">
        <v>687333</v>
      </c>
      <c r="E289" s="438">
        <v>0</v>
      </c>
      <c r="F289" s="446">
        <v>8319108</v>
      </c>
    </row>
    <row r="290" spans="1:6" ht="15">
      <c r="A290" s="437">
        <v>51053901</v>
      </c>
      <c r="B290" s="437" t="s">
        <v>409</v>
      </c>
      <c r="C290" s="438">
        <v>7631775</v>
      </c>
      <c r="D290" s="438">
        <v>687333</v>
      </c>
      <c r="E290" s="438">
        <v>0</v>
      </c>
      <c r="F290" s="446">
        <v>8319108</v>
      </c>
    </row>
    <row r="291" spans="1:6" ht="15">
      <c r="A291" s="437">
        <v>510521</v>
      </c>
      <c r="B291" s="437" t="s">
        <v>468</v>
      </c>
      <c r="C291" s="438">
        <v>0</v>
      </c>
      <c r="D291" s="438">
        <v>3194200</v>
      </c>
      <c r="E291" s="438">
        <v>0</v>
      </c>
      <c r="F291" s="446">
        <v>3194200</v>
      </c>
    </row>
    <row r="292" spans="1:6" ht="15">
      <c r="A292" s="437">
        <v>51055101</v>
      </c>
      <c r="B292" s="437" t="s">
        <v>469</v>
      </c>
      <c r="C292" s="438">
        <v>0</v>
      </c>
      <c r="D292" s="438">
        <v>3194200</v>
      </c>
      <c r="E292" s="438">
        <v>0</v>
      </c>
      <c r="F292" s="446">
        <v>3194200</v>
      </c>
    </row>
    <row r="293" spans="1:6" ht="15">
      <c r="A293" s="437">
        <v>510524</v>
      </c>
      <c r="B293" s="437" t="s">
        <v>472</v>
      </c>
      <c r="C293" s="438">
        <v>19998072</v>
      </c>
      <c r="D293" s="438">
        <v>1331384</v>
      </c>
      <c r="E293" s="438">
        <v>0</v>
      </c>
      <c r="F293" s="446">
        <v>21329456</v>
      </c>
    </row>
    <row r="294" spans="1:6" ht="15">
      <c r="A294" s="437">
        <v>51057001</v>
      </c>
      <c r="B294" s="437" t="s">
        <v>473</v>
      </c>
      <c r="C294" s="438">
        <v>19998072</v>
      </c>
      <c r="D294" s="438">
        <v>1331384</v>
      </c>
      <c r="E294" s="438">
        <v>0</v>
      </c>
      <c r="F294" s="446">
        <v>21329456</v>
      </c>
    </row>
    <row r="295" spans="1:6" ht="15">
      <c r="A295" s="437">
        <v>510525</v>
      </c>
      <c r="B295" s="437" t="s">
        <v>474</v>
      </c>
      <c r="C295" s="438">
        <v>769400</v>
      </c>
      <c r="D295" s="438">
        <v>58100</v>
      </c>
      <c r="E295" s="438">
        <v>0</v>
      </c>
      <c r="F295" s="446">
        <v>827500</v>
      </c>
    </row>
    <row r="296" spans="1:6" ht="15">
      <c r="A296" s="437">
        <v>51057101</v>
      </c>
      <c r="B296" s="437" t="s">
        <v>617</v>
      </c>
      <c r="C296" s="438">
        <v>769400</v>
      </c>
      <c r="D296" s="438">
        <v>58100</v>
      </c>
      <c r="E296" s="438">
        <v>0</v>
      </c>
      <c r="F296" s="446">
        <v>827500</v>
      </c>
    </row>
    <row r="297" spans="1:6" ht="15">
      <c r="A297" s="437">
        <v>510526</v>
      </c>
      <c r="B297" s="437" t="s">
        <v>475</v>
      </c>
      <c r="C297" s="438">
        <v>6024500</v>
      </c>
      <c r="D297" s="438">
        <v>607500</v>
      </c>
      <c r="E297" s="438">
        <v>0</v>
      </c>
      <c r="F297" s="446">
        <v>6632000</v>
      </c>
    </row>
    <row r="298" spans="1:6" ht="15">
      <c r="A298" s="437">
        <v>51057201</v>
      </c>
      <c r="B298" s="437" t="s">
        <v>476</v>
      </c>
      <c r="C298" s="438">
        <v>6024500</v>
      </c>
      <c r="D298" s="438">
        <v>607500</v>
      </c>
      <c r="E298" s="438">
        <v>0</v>
      </c>
      <c r="F298" s="446">
        <v>6632000</v>
      </c>
    </row>
    <row r="299" spans="1:6" ht="15">
      <c r="A299" s="437">
        <v>510533</v>
      </c>
      <c r="B299" s="437" t="s">
        <v>742</v>
      </c>
      <c r="C299" s="438">
        <v>30000</v>
      </c>
      <c r="D299" s="438">
        <v>0</v>
      </c>
      <c r="E299" s="438">
        <v>0</v>
      </c>
      <c r="F299" s="446">
        <v>30000</v>
      </c>
    </row>
    <row r="300" spans="1:6" ht="15">
      <c r="A300" s="437">
        <v>51053305</v>
      </c>
      <c r="B300" s="437" t="s">
        <v>743</v>
      </c>
      <c r="C300" s="438">
        <v>30000</v>
      </c>
      <c r="D300" s="438">
        <v>0</v>
      </c>
      <c r="E300" s="438">
        <v>0</v>
      </c>
      <c r="F300" s="446">
        <v>30000</v>
      </c>
    </row>
    <row r="301" spans="1:6" ht="15">
      <c r="A301" s="437">
        <v>5110</v>
      </c>
      <c r="B301" s="437" t="s">
        <v>479</v>
      </c>
      <c r="C301" s="438">
        <v>412741201.64</v>
      </c>
      <c r="D301" s="438">
        <v>22058783</v>
      </c>
      <c r="E301" s="438">
        <v>90000</v>
      </c>
      <c r="F301" s="446">
        <v>434709984.64</v>
      </c>
    </row>
    <row r="302" spans="1:6" ht="15">
      <c r="A302" s="437">
        <v>511001</v>
      </c>
      <c r="B302" s="437" t="s">
        <v>369</v>
      </c>
      <c r="C302" s="438">
        <v>38862869</v>
      </c>
      <c r="D302" s="438">
        <v>8491329</v>
      </c>
      <c r="E302" s="438">
        <v>0</v>
      </c>
      <c r="F302" s="446">
        <v>47354198</v>
      </c>
    </row>
    <row r="303" spans="1:6" ht="15">
      <c r="A303" s="437">
        <v>51100101</v>
      </c>
      <c r="B303" s="437" t="s">
        <v>480</v>
      </c>
      <c r="C303" s="438">
        <v>14187250</v>
      </c>
      <c r="D303" s="438">
        <v>1289750</v>
      </c>
      <c r="E303" s="438">
        <v>0</v>
      </c>
      <c r="F303" s="446">
        <v>15477000</v>
      </c>
    </row>
    <row r="304" spans="1:6" ht="15">
      <c r="A304" s="437">
        <v>51100102</v>
      </c>
      <c r="B304" s="437" t="s">
        <v>744</v>
      </c>
      <c r="C304" s="438">
        <v>5435000</v>
      </c>
      <c r="D304" s="438">
        <v>5367500</v>
      </c>
      <c r="E304" s="438">
        <v>0</v>
      </c>
      <c r="F304" s="446">
        <v>10802500</v>
      </c>
    </row>
    <row r="305" spans="1:6" ht="15">
      <c r="A305" s="437">
        <v>51100103</v>
      </c>
      <c r="B305" s="437" t="s">
        <v>481</v>
      </c>
      <c r="C305" s="438">
        <v>9347450</v>
      </c>
      <c r="D305" s="438">
        <v>868700</v>
      </c>
      <c r="E305" s="438">
        <v>0</v>
      </c>
      <c r="F305" s="446">
        <v>10216150</v>
      </c>
    </row>
    <row r="306" spans="1:6" ht="15">
      <c r="A306" s="437">
        <v>51100104</v>
      </c>
      <c r="B306" s="437" t="s">
        <v>482</v>
      </c>
      <c r="C306" s="438">
        <v>0</v>
      </c>
      <c r="D306" s="438">
        <v>66000</v>
      </c>
      <c r="E306" s="438">
        <v>0</v>
      </c>
      <c r="F306" s="446">
        <v>66000</v>
      </c>
    </row>
    <row r="307" spans="1:6" ht="15">
      <c r="A307" s="437">
        <v>51100105</v>
      </c>
      <c r="B307" s="437" t="s">
        <v>483</v>
      </c>
      <c r="C307" s="438">
        <v>5933169</v>
      </c>
      <c r="D307" s="438">
        <v>539379</v>
      </c>
      <c r="E307" s="438">
        <v>0</v>
      </c>
      <c r="F307" s="446">
        <v>6472548</v>
      </c>
    </row>
    <row r="308" spans="1:6" ht="15">
      <c r="A308" s="437">
        <v>51100106</v>
      </c>
      <c r="B308" s="437" t="s">
        <v>484</v>
      </c>
      <c r="C308" s="438">
        <v>3960000</v>
      </c>
      <c r="D308" s="438">
        <v>360000</v>
      </c>
      <c r="E308" s="438">
        <v>0</v>
      </c>
      <c r="F308" s="446">
        <v>4320000</v>
      </c>
    </row>
    <row r="309" spans="1:6" ht="15">
      <c r="A309" s="437">
        <v>511002</v>
      </c>
      <c r="B309" s="437" t="s">
        <v>485</v>
      </c>
      <c r="C309" s="438">
        <v>19050652</v>
      </c>
      <c r="D309" s="438">
        <v>1261988</v>
      </c>
      <c r="E309" s="438">
        <v>0</v>
      </c>
      <c r="F309" s="446">
        <v>20312640</v>
      </c>
    </row>
    <row r="310" spans="1:6" ht="15">
      <c r="A310" s="437">
        <v>51100201</v>
      </c>
      <c r="B310" s="437" t="s">
        <v>486</v>
      </c>
      <c r="C310" s="438">
        <v>6938000</v>
      </c>
      <c r="D310" s="438">
        <v>0</v>
      </c>
      <c r="E310" s="438">
        <v>0</v>
      </c>
      <c r="F310" s="446">
        <v>6938000</v>
      </c>
    </row>
    <row r="311" spans="1:6" ht="15">
      <c r="A311" s="437">
        <v>51100202</v>
      </c>
      <c r="B311" s="437" t="s">
        <v>487</v>
      </c>
      <c r="C311" s="438">
        <v>9344915</v>
      </c>
      <c r="D311" s="438">
        <v>1097381</v>
      </c>
      <c r="E311" s="438">
        <v>0</v>
      </c>
      <c r="F311" s="446">
        <v>10442296</v>
      </c>
    </row>
    <row r="312" spans="1:6" ht="15">
      <c r="A312" s="437">
        <v>51100205</v>
      </c>
      <c r="B312" s="437" t="s">
        <v>725</v>
      </c>
      <c r="C312" s="438">
        <v>2767737</v>
      </c>
      <c r="D312" s="438">
        <v>164607</v>
      </c>
      <c r="E312" s="438">
        <v>0</v>
      </c>
      <c r="F312" s="446">
        <v>2932344</v>
      </c>
    </row>
    <row r="313" spans="1:6" ht="15">
      <c r="A313" s="437">
        <v>511005</v>
      </c>
      <c r="B313" s="437" t="s">
        <v>488</v>
      </c>
      <c r="C313" s="438">
        <v>0</v>
      </c>
      <c r="D313" s="438">
        <v>3343251</v>
      </c>
      <c r="E313" s="438">
        <v>0</v>
      </c>
      <c r="F313" s="446">
        <v>3343251</v>
      </c>
    </row>
    <row r="314" spans="1:6" ht="15">
      <c r="A314" s="437">
        <v>51100801</v>
      </c>
      <c r="B314" s="437" t="s">
        <v>489</v>
      </c>
      <c r="C314" s="438">
        <v>0</v>
      </c>
      <c r="D314" s="438">
        <v>1076950</v>
      </c>
      <c r="E314" s="438">
        <v>0</v>
      </c>
      <c r="F314" s="446">
        <v>1076950</v>
      </c>
    </row>
    <row r="315" spans="1:6" ht="15">
      <c r="A315" s="437">
        <v>51100803</v>
      </c>
      <c r="B315" s="437" t="s">
        <v>490</v>
      </c>
      <c r="C315" s="438">
        <v>0</v>
      </c>
      <c r="D315" s="438">
        <v>2266301</v>
      </c>
      <c r="E315" s="438">
        <v>0</v>
      </c>
      <c r="F315" s="446">
        <v>2266301</v>
      </c>
    </row>
    <row r="316" spans="1:6" ht="15">
      <c r="A316" s="437">
        <v>511006</v>
      </c>
      <c r="B316" s="437" t="s">
        <v>491</v>
      </c>
      <c r="C316" s="438">
        <v>3296446</v>
      </c>
      <c r="D316" s="438">
        <v>142000</v>
      </c>
      <c r="E316" s="438">
        <v>0</v>
      </c>
      <c r="F316" s="446">
        <v>3438446</v>
      </c>
    </row>
    <row r="317" spans="1:6" ht="15">
      <c r="A317" s="437">
        <v>51101001</v>
      </c>
      <c r="B317" s="437" t="s">
        <v>492</v>
      </c>
      <c r="C317" s="438">
        <v>865573</v>
      </c>
      <c r="D317" s="438">
        <v>0</v>
      </c>
      <c r="E317" s="438">
        <v>0</v>
      </c>
      <c r="F317" s="446">
        <v>865573</v>
      </c>
    </row>
    <row r="318" spans="1:6" ht="15">
      <c r="A318" s="437">
        <v>51101002</v>
      </c>
      <c r="B318" s="437" t="s">
        <v>493</v>
      </c>
      <c r="C318" s="438">
        <v>2430873</v>
      </c>
      <c r="D318" s="438">
        <v>142000</v>
      </c>
      <c r="E318" s="438">
        <v>0</v>
      </c>
      <c r="F318" s="446">
        <v>2572873</v>
      </c>
    </row>
    <row r="319" spans="1:6" ht="15">
      <c r="A319" s="437">
        <v>511009</v>
      </c>
      <c r="B319" s="437" t="s">
        <v>494</v>
      </c>
      <c r="C319" s="438">
        <v>2475200</v>
      </c>
      <c r="D319" s="438">
        <v>0</v>
      </c>
      <c r="E319" s="438">
        <v>0</v>
      </c>
      <c r="F319" s="446">
        <v>2475200</v>
      </c>
    </row>
    <row r="320" spans="1:6" ht="15">
      <c r="A320" s="437">
        <v>51101601</v>
      </c>
      <c r="B320" s="437" t="s">
        <v>495</v>
      </c>
      <c r="C320" s="438">
        <v>2475200</v>
      </c>
      <c r="D320" s="438">
        <v>0</v>
      </c>
      <c r="E320" s="438">
        <v>0</v>
      </c>
      <c r="F320" s="446">
        <v>2475200</v>
      </c>
    </row>
    <row r="321" spans="1:6" ht="15">
      <c r="A321" s="437">
        <v>511010</v>
      </c>
      <c r="B321" s="437" t="s">
        <v>496</v>
      </c>
      <c r="C321" s="438">
        <v>2425072</v>
      </c>
      <c r="D321" s="438">
        <v>28330</v>
      </c>
      <c r="E321" s="438">
        <v>0</v>
      </c>
      <c r="F321" s="446">
        <v>2453402</v>
      </c>
    </row>
    <row r="322" spans="1:6" ht="15">
      <c r="A322" s="437">
        <v>51101801</v>
      </c>
      <c r="B322" s="437" t="s">
        <v>497</v>
      </c>
      <c r="C322" s="438">
        <v>2425072</v>
      </c>
      <c r="D322" s="438">
        <v>28330</v>
      </c>
      <c r="E322" s="438">
        <v>0</v>
      </c>
      <c r="F322" s="446">
        <v>2453402</v>
      </c>
    </row>
    <row r="323" spans="1:6" ht="15">
      <c r="A323" s="437">
        <v>511011</v>
      </c>
      <c r="B323" s="437" t="s">
        <v>498</v>
      </c>
      <c r="C323" s="438">
        <v>2756411.64</v>
      </c>
      <c r="D323" s="438">
        <v>11950</v>
      </c>
      <c r="E323" s="438">
        <v>0</v>
      </c>
      <c r="F323" s="446">
        <v>2768361.64</v>
      </c>
    </row>
    <row r="324" spans="1:6" ht="15">
      <c r="A324" s="437">
        <v>51102001</v>
      </c>
      <c r="B324" s="437" t="s">
        <v>499</v>
      </c>
      <c r="C324" s="438">
        <v>2756411.64</v>
      </c>
      <c r="D324" s="438">
        <v>11950</v>
      </c>
      <c r="E324" s="438">
        <v>0</v>
      </c>
      <c r="F324" s="446">
        <v>2768361.64</v>
      </c>
    </row>
    <row r="325" spans="1:6" ht="15">
      <c r="A325" s="437">
        <v>511012</v>
      </c>
      <c r="B325" s="437" t="s">
        <v>500</v>
      </c>
      <c r="C325" s="438">
        <v>13766390</v>
      </c>
      <c r="D325" s="438">
        <v>1679268</v>
      </c>
      <c r="E325" s="438">
        <v>90000</v>
      </c>
      <c r="F325" s="446">
        <v>15355658</v>
      </c>
    </row>
    <row r="326" spans="1:6" ht="15">
      <c r="A326" s="437">
        <v>51102201</v>
      </c>
      <c r="B326" s="437" t="s">
        <v>501</v>
      </c>
      <c r="C326" s="438">
        <v>692752</v>
      </c>
      <c r="D326" s="438">
        <v>32652</v>
      </c>
      <c r="E326" s="438">
        <v>0</v>
      </c>
      <c r="F326" s="446">
        <v>725404</v>
      </c>
    </row>
    <row r="327" spans="1:6" ht="15">
      <c r="A327" s="437">
        <v>51102202</v>
      </c>
      <c r="B327" s="437" t="s">
        <v>502</v>
      </c>
      <c r="C327" s="438">
        <v>4522320</v>
      </c>
      <c r="D327" s="438">
        <v>446180</v>
      </c>
      <c r="E327" s="438">
        <v>0</v>
      </c>
      <c r="F327" s="446">
        <v>4968500</v>
      </c>
    </row>
    <row r="328" spans="1:6" ht="15">
      <c r="A328" s="437">
        <v>51102203</v>
      </c>
      <c r="B328" s="437" t="s">
        <v>503</v>
      </c>
      <c r="C328" s="438">
        <v>4544948</v>
      </c>
      <c r="D328" s="438">
        <v>429086</v>
      </c>
      <c r="E328" s="438">
        <v>90000</v>
      </c>
      <c r="F328" s="446">
        <v>4884034</v>
      </c>
    </row>
    <row r="329" spans="1:6" ht="15">
      <c r="A329" s="437">
        <v>51102204</v>
      </c>
      <c r="B329" s="437" t="s">
        <v>504</v>
      </c>
      <c r="C329" s="438">
        <v>498720</v>
      </c>
      <c r="D329" s="438">
        <v>116980</v>
      </c>
      <c r="E329" s="438">
        <v>0</v>
      </c>
      <c r="F329" s="446">
        <v>615700</v>
      </c>
    </row>
    <row r="330" spans="1:6" ht="15">
      <c r="A330" s="437">
        <v>51102206</v>
      </c>
      <c r="B330" s="437" t="s">
        <v>505</v>
      </c>
      <c r="C330" s="438">
        <v>321010</v>
      </c>
      <c r="D330" s="438">
        <v>7010</v>
      </c>
      <c r="E330" s="438">
        <v>0</v>
      </c>
      <c r="F330" s="446">
        <v>328020</v>
      </c>
    </row>
    <row r="331" spans="1:6" ht="15">
      <c r="A331" s="437">
        <v>51102208</v>
      </c>
      <c r="B331" s="437" t="s">
        <v>745</v>
      </c>
      <c r="C331" s="438">
        <v>532460</v>
      </c>
      <c r="D331" s="438">
        <v>0</v>
      </c>
      <c r="E331" s="438">
        <v>0</v>
      </c>
      <c r="F331" s="446">
        <v>532460</v>
      </c>
    </row>
    <row r="332" spans="1:6" ht="15">
      <c r="A332" s="437">
        <v>51102209</v>
      </c>
      <c r="B332" s="437" t="s">
        <v>746</v>
      </c>
      <c r="C332" s="438">
        <v>2654180</v>
      </c>
      <c r="D332" s="438">
        <v>647360</v>
      </c>
      <c r="E332" s="438">
        <v>0</v>
      </c>
      <c r="F332" s="446">
        <v>3301540</v>
      </c>
    </row>
    <row r="333" spans="1:6" ht="15">
      <c r="A333" s="437">
        <v>511013</v>
      </c>
      <c r="B333" s="437" t="s">
        <v>506</v>
      </c>
      <c r="C333" s="438">
        <v>709050</v>
      </c>
      <c r="D333" s="438">
        <v>0</v>
      </c>
      <c r="E333" s="438">
        <v>0</v>
      </c>
      <c r="F333" s="446">
        <v>709050</v>
      </c>
    </row>
    <row r="334" spans="1:6" ht="15">
      <c r="A334" s="437">
        <v>51102401</v>
      </c>
      <c r="B334" s="437" t="s">
        <v>507</v>
      </c>
      <c r="C334" s="438">
        <v>709050</v>
      </c>
      <c r="D334" s="438">
        <v>0</v>
      </c>
      <c r="E334" s="438">
        <v>0</v>
      </c>
      <c r="F334" s="446">
        <v>709050</v>
      </c>
    </row>
    <row r="335" spans="1:6" ht="15">
      <c r="A335" s="437">
        <v>511014</v>
      </c>
      <c r="B335" s="437" t="s">
        <v>508</v>
      </c>
      <c r="C335" s="438">
        <v>405500</v>
      </c>
      <c r="D335" s="438">
        <v>46000</v>
      </c>
      <c r="E335" s="438">
        <v>0</v>
      </c>
      <c r="F335" s="446">
        <v>451500</v>
      </c>
    </row>
    <row r="336" spans="1:6" ht="15">
      <c r="A336" s="437">
        <v>51102601</v>
      </c>
      <c r="B336" s="437" t="s">
        <v>509</v>
      </c>
      <c r="C336" s="438">
        <v>405500</v>
      </c>
      <c r="D336" s="438">
        <v>46000</v>
      </c>
      <c r="E336" s="438">
        <v>0</v>
      </c>
      <c r="F336" s="446">
        <v>451500</v>
      </c>
    </row>
    <row r="337" spans="1:6" ht="15">
      <c r="A337" s="437">
        <v>511015</v>
      </c>
      <c r="B337" s="437" t="s">
        <v>510</v>
      </c>
      <c r="C337" s="438">
        <v>1927936</v>
      </c>
      <c r="D337" s="438">
        <v>227700</v>
      </c>
      <c r="E337" s="438">
        <v>0</v>
      </c>
      <c r="F337" s="446">
        <v>2155636</v>
      </c>
    </row>
    <row r="338" spans="1:6" ht="15">
      <c r="A338" s="437">
        <v>51102801</v>
      </c>
      <c r="B338" s="437" t="s">
        <v>511</v>
      </c>
      <c r="C338" s="438">
        <v>1927936</v>
      </c>
      <c r="D338" s="438">
        <v>227700</v>
      </c>
      <c r="E338" s="438">
        <v>0</v>
      </c>
      <c r="F338" s="446">
        <v>2155636</v>
      </c>
    </row>
    <row r="339" spans="1:6" ht="15">
      <c r="A339" s="437">
        <v>511016</v>
      </c>
      <c r="B339" s="437" t="s">
        <v>512</v>
      </c>
      <c r="C339" s="438">
        <v>112100</v>
      </c>
      <c r="D339" s="438">
        <v>0</v>
      </c>
      <c r="E339" s="438">
        <v>0</v>
      </c>
      <c r="F339" s="446">
        <v>112100</v>
      </c>
    </row>
    <row r="340" spans="1:6" ht="15">
      <c r="A340" s="437">
        <v>51103001</v>
      </c>
      <c r="B340" s="437" t="s">
        <v>513</v>
      </c>
      <c r="C340" s="438">
        <v>112100</v>
      </c>
      <c r="D340" s="438">
        <v>0</v>
      </c>
      <c r="E340" s="438">
        <v>0</v>
      </c>
      <c r="F340" s="446">
        <v>112100</v>
      </c>
    </row>
    <row r="341" spans="1:6" ht="15">
      <c r="A341" s="437">
        <v>511018</v>
      </c>
      <c r="B341" s="437" t="s">
        <v>516</v>
      </c>
      <c r="C341" s="438">
        <v>60000</v>
      </c>
      <c r="D341" s="438">
        <v>0</v>
      </c>
      <c r="E341" s="438">
        <v>0</v>
      </c>
      <c r="F341" s="446">
        <v>60000</v>
      </c>
    </row>
    <row r="342" spans="1:6" ht="15">
      <c r="A342" s="437">
        <v>51103401</v>
      </c>
      <c r="B342" s="437" t="s">
        <v>517</v>
      </c>
      <c r="C342" s="438">
        <v>60000</v>
      </c>
      <c r="D342" s="438">
        <v>0</v>
      </c>
      <c r="E342" s="438">
        <v>0</v>
      </c>
      <c r="F342" s="446">
        <v>60000</v>
      </c>
    </row>
    <row r="343" spans="1:6" ht="15">
      <c r="A343" s="437">
        <v>511019</v>
      </c>
      <c r="B343" s="437" t="s">
        <v>518</v>
      </c>
      <c r="C343" s="438">
        <v>3029713</v>
      </c>
      <c r="D343" s="438">
        <v>0</v>
      </c>
      <c r="E343" s="438">
        <v>0</v>
      </c>
      <c r="F343" s="446">
        <v>3029713</v>
      </c>
    </row>
    <row r="344" spans="1:6" ht="15">
      <c r="A344" s="437">
        <v>51103601</v>
      </c>
      <c r="B344" s="437" t="s">
        <v>519</v>
      </c>
      <c r="C344" s="438">
        <v>3029713</v>
      </c>
      <c r="D344" s="438">
        <v>0</v>
      </c>
      <c r="E344" s="438">
        <v>0</v>
      </c>
      <c r="F344" s="446">
        <v>3029713</v>
      </c>
    </row>
    <row r="345" spans="1:6" ht="15">
      <c r="A345" s="437">
        <v>511020</v>
      </c>
      <c r="B345" s="437" t="s">
        <v>520</v>
      </c>
      <c r="C345" s="438">
        <v>9441800</v>
      </c>
      <c r="D345" s="438">
        <v>0</v>
      </c>
      <c r="E345" s="438">
        <v>0</v>
      </c>
      <c r="F345" s="446">
        <v>9441800</v>
      </c>
    </row>
    <row r="346" spans="1:6" ht="15">
      <c r="A346" s="437">
        <v>51103801</v>
      </c>
      <c r="B346" s="437" t="s">
        <v>130</v>
      </c>
      <c r="C346" s="438">
        <v>9441800</v>
      </c>
      <c r="D346" s="438">
        <v>0</v>
      </c>
      <c r="E346" s="438">
        <v>0</v>
      </c>
      <c r="F346" s="446">
        <v>9441800</v>
      </c>
    </row>
    <row r="347" spans="1:6" ht="15">
      <c r="A347" s="437">
        <v>511021</v>
      </c>
      <c r="B347" s="437" t="s">
        <v>521</v>
      </c>
      <c r="C347" s="438">
        <v>4699800</v>
      </c>
      <c r="D347" s="438">
        <v>984200</v>
      </c>
      <c r="E347" s="438">
        <v>0</v>
      </c>
      <c r="F347" s="446">
        <v>5684000</v>
      </c>
    </row>
    <row r="348" spans="1:6" ht="15">
      <c r="A348" s="437">
        <v>51104001</v>
      </c>
      <c r="B348" s="437" t="s">
        <v>522</v>
      </c>
      <c r="C348" s="438">
        <v>4391900</v>
      </c>
      <c r="D348" s="438">
        <v>828800</v>
      </c>
      <c r="E348" s="438">
        <v>0</v>
      </c>
      <c r="F348" s="446">
        <v>5220700</v>
      </c>
    </row>
    <row r="349" spans="1:6" ht="15">
      <c r="A349" s="437">
        <v>51104002</v>
      </c>
      <c r="B349" s="437" t="s">
        <v>523</v>
      </c>
      <c r="C349" s="438">
        <v>307900</v>
      </c>
      <c r="D349" s="438">
        <v>155400</v>
      </c>
      <c r="E349" s="438">
        <v>0</v>
      </c>
      <c r="F349" s="446">
        <v>463300</v>
      </c>
    </row>
    <row r="350" spans="1:6" ht="15">
      <c r="A350" s="437">
        <v>511022</v>
      </c>
      <c r="B350" s="437" t="s">
        <v>524</v>
      </c>
      <c r="C350" s="438">
        <v>1890700</v>
      </c>
      <c r="D350" s="438">
        <v>569800</v>
      </c>
      <c r="E350" s="438">
        <v>0</v>
      </c>
      <c r="F350" s="446">
        <v>2460500</v>
      </c>
    </row>
    <row r="351" spans="1:6" ht="15">
      <c r="A351" s="437">
        <v>51104201</v>
      </c>
      <c r="B351" s="437" t="s">
        <v>747</v>
      </c>
      <c r="C351" s="438">
        <v>336700</v>
      </c>
      <c r="D351" s="438">
        <v>155400</v>
      </c>
      <c r="E351" s="438">
        <v>0</v>
      </c>
      <c r="F351" s="446">
        <v>492100</v>
      </c>
    </row>
    <row r="352" spans="1:6" ht="15">
      <c r="A352" s="437">
        <v>51104202</v>
      </c>
      <c r="B352" s="437" t="s">
        <v>526</v>
      </c>
      <c r="C352" s="438">
        <v>932400</v>
      </c>
      <c r="D352" s="438">
        <v>233100</v>
      </c>
      <c r="E352" s="438">
        <v>0</v>
      </c>
      <c r="F352" s="446">
        <v>1165500</v>
      </c>
    </row>
    <row r="353" spans="1:6" ht="15">
      <c r="A353" s="437">
        <v>51104203</v>
      </c>
      <c r="B353" s="437" t="s">
        <v>527</v>
      </c>
      <c r="C353" s="438">
        <v>207200</v>
      </c>
      <c r="D353" s="438">
        <v>51800</v>
      </c>
      <c r="E353" s="438">
        <v>0</v>
      </c>
      <c r="F353" s="446">
        <v>259000</v>
      </c>
    </row>
    <row r="354" spans="1:6" ht="15">
      <c r="A354" s="437">
        <v>51104204</v>
      </c>
      <c r="B354" s="437" t="s">
        <v>620</v>
      </c>
      <c r="C354" s="438">
        <v>129500</v>
      </c>
      <c r="D354" s="438">
        <v>51800</v>
      </c>
      <c r="E354" s="438">
        <v>0</v>
      </c>
      <c r="F354" s="446">
        <v>181300</v>
      </c>
    </row>
    <row r="355" spans="1:6" ht="15">
      <c r="A355" s="437">
        <v>51104205</v>
      </c>
      <c r="B355" s="437" t="s">
        <v>528</v>
      </c>
      <c r="C355" s="438">
        <v>284900</v>
      </c>
      <c r="D355" s="438">
        <v>77700</v>
      </c>
      <c r="E355" s="438">
        <v>0</v>
      </c>
      <c r="F355" s="446">
        <v>362600</v>
      </c>
    </row>
    <row r="356" spans="1:6" ht="15">
      <c r="A356" s="437">
        <v>511024</v>
      </c>
      <c r="B356" s="437" t="s">
        <v>529</v>
      </c>
      <c r="C356" s="438">
        <v>2338100</v>
      </c>
      <c r="D356" s="438">
        <v>22000</v>
      </c>
      <c r="E356" s="438">
        <v>0</v>
      </c>
      <c r="F356" s="446">
        <v>2360100</v>
      </c>
    </row>
    <row r="357" spans="1:6" ht="15">
      <c r="A357" s="437">
        <v>51101602</v>
      </c>
      <c r="B357" s="437" t="s">
        <v>621</v>
      </c>
      <c r="C357" s="438">
        <v>0</v>
      </c>
      <c r="D357" s="438">
        <v>16100</v>
      </c>
      <c r="E357" s="438">
        <v>0</v>
      </c>
      <c r="F357" s="446">
        <v>16100</v>
      </c>
    </row>
    <row r="358" spans="1:6" ht="15">
      <c r="A358" s="437">
        <v>51102205</v>
      </c>
      <c r="B358" s="437" t="s">
        <v>748</v>
      </c>
      <c r="C358" s="438">
        <v>371000</v>
      </c>
      <c r="D358" s="438">
        <v>0</v>
      </c>
      <c r="E358" s="438">
        <v>0</v>
      </c>
      <c r="F358" s="446">
        <v>371000</v>
      </c>
    </row>
    <row r="359" spans="1:6" ht="15">
      <c r="A359" s="437">
        <v>51104601</v>
      </c>
      <c r="B359" s="437" t="s">
        <v>530</v>
      </c>
      <c r="C359" s="438">
        <v>100000</v>
      </c>
      <c r="D359" s="438">
        <v>0</v>
      </c>
      <c r="E359" s="438">
        <v>0</v>
      </c>
      <c r="F359" s="446">
        <v>100000</v>
      </c>
    </row>
    <row r="360" spans="1:6" ht="15">
      <c r="A360" s="437">
        <v>51104602</v>
      </c>
      <c r="B360" s="437" t="s">
        <v>531</v>
      </c>
      <c r="C360" s="438">
        <v>1867100</v>
      </c>
      <c r="D360" s="438">
        <v>5900</v>
      </c>
      <c r="E360" s="438">
        <v>0</v>
      </c>
      <c r="F360" s="446">
        <v>1873000</v>
      </c>
    </row>
    <row r="361" spans="1:6" ht="15">
      <c r="A361" s="437">
        <v>511025</v>
      </c>
      <c r="B361" s="437" t="s">
        <v>532</v>
      </c>
      <c r="C361" s="438">
        <v>7027185</v>
      </c>
      <c r="D361" s="438">
        <v>322185</v>
      </c>
      <c r="E361" s="438">
        <v>0</v>
      </c>
      <c r="F361" s="446">
        <v>7349370</v>
      </c>
    </row>
    <row r="362" spans="1:6" ht="15">
      <c r="A362" s="437">
        <v>51104801</v>
      </c>
      <c r="B362" s="437" t="s">
        <v>533</v>
      </c>
      <c r="C362" s="438">
        <v>7027185</v>
      </c>
      <c r="D362" s="438">
        <v>322185</v>
      </c>
      <c r="E362" s="438">
        <v>0</v>
      </c>
      <c r="F362" s="446">
        <v>7349370</v>
      </c>
    </row>
    <row r="363" spans="1:6" ht="15">
      <c r="A363" s="437">
        <v>511029</v>
      </c>
      <c r="B363" s="437" t="s">
        <v>534</v>
      </c>
      <c r="C363" s="438">
        <v>17745952</v>
      </c>
      <c r="D363" s="438">
        <v>0</v>
      </c>
      <c r="E363" s="438">
        <v>0</v>
      </c>
      <c r="F363" s="446">
        <v>17745952</v>
      </c>
    </row>
    <row r="364" spans="1:6" ht="15">
      <c r="A364" s="437">
        <v>51105601</v>
      </c>
      <c r="B364" s="437" t="s">
        <v>535</v>
      </c>
      <c r="C364" s="438">
        <v>17745952</v>
      </c>
      <c r="D364" s="438">
        <v>0</v>
      </c>
      <c r="E364" s="438">
        <v>0</v>
      </c>
      <c r="F364" s="446">
        <v>17745952</v>
      </c>
    </row>
    <row r="365" spans="1:6" ht="15">
      <c r="A365" s="437">
        <v>511030</v>
      </c>
      <c r="B365" s="437" t="s">
        <v>536</v>
      </c>
      <c r="C365" s="438">
        <v>9450994</v>
      </c>
      <c r="D365" s="438">
        <v>496199</v>
      </c>
      <c r="E365" s="438">
        <v>0</v>
      </c>
      <c r="F365" s="446">
        <v>9947193</v>
      </c>
    </row>
    <row r="366" spans="1:6" ht="15">
      <c r="A366" s="437">
        <v>51105801</v>
      </c>
      <c r="B366" s="437" t="s">
        <v>537</v>
      </c>
      <c r="C366" s="438">
        <v>3529816</v>
      </c>
      <c r="D366" s="438">
        <v>325061</v>
      </c>
      <c r="E366" s="438">
        <v>0</v>
      </c>
      <c r="F366" s="446">
        <v>3854877</v>
      </c>
    </row>
    <row r="367" spans="1:6" ht="15">
      <c r="A367" s="437">
        <v>51105803</v>
      </c>
      <c r="B367" s="437" t="s">
        <v>538</v>
      </c>
      <c r="C367" s="438">
        <v>5921178</v>
      </c>
      <c r="D367" s="438">
        <v>171138</v>
      </c>
      <c r="E367" s="438">
        <v>0</v>
      </c>
      <c r="F367" s="446">
        <v>6092316</v>
      </c>
    </row>
    <row r="368" spans="1:6" ht="15">
      <c r="A368" s="437">
        <v>511032</v>
      </c>
      <c r="B368" s="437" t="s">
        <v>539</v>
      </c>
      <c r="C368" s="438">
        <v>1935476</v>
      </c>
      <c r="D368" s="438">
        <v>70438</v>
      </c>
      <c r="E368" s="438">
        <v>0</v>
      </c>
      <c r="F368" s="446">
        <v>2005914</v>
      </c>
    </row>
    <row r="369" spans="1:6" ht="15">
      <c r="A369" s="437">
        <v>51106201</v>
      </c>
      <c r="B369" s="437" t="s">
        <v>540</v>
      </c>
      <c r="C369" s="438">
        <v>1935476</v>
      </c>
      <c r="D369" s="438">
        <v>70438</v>
      </c>
      <c r="E369" s="438">
        <v>0</v>
      </c>
      <c r="F369" s="446">
        <v>2005914</v>
      </c>
    </row>
    <row r="370" spans="1:6" ht="15">
      <c r="A370" s="437">
        <v>511095</v>
      </c>
      <c r="B370" s="437" t="s">
        <v>338</v>
      </c>
      <c r="C370" s="438">
        <v>269333855</v>
      </c>
      <c r="D370" s="438">
        <v>4362145</v>
      </c>
      <c r="E370" s="438">
        <v>0</v>
      </c>
      <c r="F370" s="446">
        <v>273696000</v>
      </c>
    </row>
    <row r="371" spans="1:6" ht="15">
      <c r="A371" s="437">
        <v>51107801</v>
      </c>
      <c r="B371" s="437" t="s">
        <v>624</v>
      </c>
      <c r="C371" s="438">
        <v>269333855</v>
      </c>
      <c r="D371" s="438">
        <v>4019145</v>
      </c>
      <c r="E371" s="438">
        <v>0</v>
      </c>
      <c r="F371" s="446">
        <v>273353000</v>
      </c>
    </row>
    <row r="372" spans="1:6" ht="15">
      <c r="A372" s="437">
        <v>51109503</v>
      </c>
      <c r="B372" s="437" t="s">
        <v>542</v>
      </c>
      <c r="C372" s="438">
        <v>0</v>
      </c>
      <c r="D372" s="438">
        <v>343000</v>
      </c>
      <c r="E372" s="438">
        <v>0</v>
      </c>
      <c r="F372" s="446">
        <v>343000</v>
      </c>
    </row>
    <row r="373" spans="1:6" ht="15">
      <c r="A373" s="437">
        <v>5115</v>
      </c>
      <c r="B373" s="437" t="s">
        <v>543</v>
      </c>
      <c r="C373" s="438">
        <v>106017143.59</v>
      </c>
      <c r="D373" s="438">
        <v>45762423.51</v>
      </c>
      <c r="E373" s="438">
        <v>39332435.52</v>
      </c>
      <c r="F373" s="446">
        <v>112447131.58</v>
      </c>
    </row>
    <row r="374" spans="1:6" ht="15">
      <c r="A374" s="437">
        <v>511517</v>
      </c>
      <c r="B374" s="437" t="s">
        <v>544</v>
      </c>
      <c r="C374" s="438">
        <v>82834009.59</v>
      </c>
      <c r="D374" s="438">
        <v>26327179.51</v>
      </c>
      <c r="E374" s="438">
        <v>33751308.52</v>
      </c>
      <c r="F374" s="446">
        <v>75409880.58</v>
      </c>
    </row>
    <row r="375" spans="1:6" ht="15">
      <c r="A375" s="437">
        <v>51151501</v>
      </c>
      <c r="B375" s="437" t="s">
        <v>749</v>
      </c>
      <c r="C375" s="438">
        <v>82833972.23</v>
      </c>
      <c r="D375" s="438">
        <v>26327179.51</v>
      </c>
      <c r="E375" s="438">
        <v>33751308.52</v>
      </c>
      <c r="F375" s="446">
        <v>75409843.22</v>
      </c>
    </row>
    <row r="376" spans="1:6" ht="15">
      <c r="A376" s="437">
        <v>51151502</v>
      </c>
      <c r="B376" s="437" t="s">
        <v>750</v>
      </c>
      <c r="C376" s="438">
        <v>37.36</v>
      </c>
      <c r="D376" s="438">
        <v>0</v>
      </c>
      <c r="E376" s="438">
        <v>0</v>
      </c>
      <c r="F376" s="446">
        <v>37.36</v>
      </c>
    </row>
    <row r="377" spans="1:6" ht="15">
      <c r="A377" s="437">
        <v>511518</v>
      </c>
      <c r="B377" s="437" t="s">
        <v>299</v>
      </c>
      <c r="C377" s="438">
        <v>4824883</v>
      </c>
      <c r="D377" s="438">
        <v>2340378</v>
      </c>
      <c r="E377" s="438">
        <v>3659663</v>
      </c>
      <c r="F377" s="446">
        <v>3505598</v>
      </c>
    </row>
    <row r="378" spans="1:6" ht="15">
      <c r="A378" s="437">
        <v>51151801</v>
      </c>
      <c r="B378" s="437" t="s">
        <v>751</v>
      </c>
      <c r="C378" s="438">
        <v>4824883</v>
      </c>
      <c r="D378" s="438">
        <v>2340378</v>
      </c>
      <c r="E378" s="438">
        <v>3659663</v>
      </c>
      <c r="F378" s="446">
        <v>3505598</v>
      </c>
    </row>
    <row r="379" spans="1:6" ht="15">
      <c r="A379" s="437">
        <v>511529</v>
      </c>
      <c r="B379" s="437" t="s">
        <v>332</v>
      </c>
      <c r="C379" s="438">
        <v>2109762</v>
      </c>
      <c r="D379" s="438">
        <v>0</v>
      </c>
      <c r="E379" s="438">
        <v>677997</v>
      </c>
      <c r="F379" s="446">
        <v>1431765</v>
      </c>
    </row>
    <row r="380" spans="1:6" ht="15">
      <c r="A380" s="437">
        <v>51152401</v>
      </c>
      <c r="B380" s="437" t="s">
        <v>546</v>
      </c>
      <c r="C380" s="438">
        <v>2109762</v>
      </c>
      <c r="D380" s="438">
        <v>0</v>
      </c>
      <c r="E380" s="438">
        <v>677997</v>
      </c>
      <c r="F380" s="446">
        <v>1431765</v>
      </c>
    </row>
    <row r="381" spans="1:6" ht="15">
      <c r="A381" s="437">
        <v>511538</v>
      </c>
      <c r="B381" s="437" t="s">
        <v>615</v>
      </c>
      <c r="C381" s="438">
        <v>33914</v>
      </c>
      <c r="D381" s="438">
        <v>0</v>
      </c>
      <c r="E381" s="438">
        <v>0</v>
      </c>
      <c r="F381" s="446">
        <v>33914</v>
      </c>
    </row>
    <row r="382" spans="1:6" ht="15">
      <c r="A382" s="437">
        <v>51153801</v>
      </c>
      <c r="B382" s="437" t="s">
        <v>752</v>
      </c>
      <c r="C382" s="438">
        <v>33914</v>
      </c>
      <c r="D382" s="438">
        <v>0</v>
      </c>
      <c r="E382" s="438">
        <v>0</v>
      </c>
      <c r="F382" s="446">
        <v>33914</v>
      </c>
    </row>
    <row r="383" spans="1:6" ht="15">
      <c r="A383" s="437">
        <v>511546</v>
      </c>
      <c r="B383" s="437" t="s">
        <v>153</v>
      </c>
      <c r="C383" s="438">
        <v>13785310</v>
      </c>
      <c r="D383" s="438">
        <v>1253210</v>
      </c>
      <c r="E383" s="438">
        <v>0</v>
      </c>
      <c r="F383" s="446">
        <v>15038520</v>
      </c>
    </row>
    <row r="384" spans="1:6" ht="15">
      <c r="A384" s="437">
        <v>51156501</v>
      </c>
      <c r="B384" s="437" t="s">
        <v>547</v>
      </c>
      <c r="C384" s="438">
        <v>13785310</v>
      </c>
      <c r="D384" s="438">
        <v>1253210</v>
      </c>
      <c r="E384" s="438">
        <v>0</v>
      </c>
      <c r="F384" s="446">
        <v>15038520</v>
      </c>
    </row>
    <row r="385" spans="1:6" ht="15">
      <c r="A385" s="437">
        <v>511559</v>
      </c>
      <c r="B385" s="437" t="s">
        <v>310</v>
      </c>
      <c r="C385" s="438">
        <v>2260992</v>
      </c>
      <c r="D385" s="438">
        <v>14460912</v>
      </c>
      <c r="E385" s="438">
        <v>1151298</v>
      </c>
      <c r="F385" s="446">
        <v>15570606</v>
      </c>
    </row>
    <row r="386" spans="1:6" ht="15">
      <c r="A386" s="437">
        <v>51155901</v>
      </c>
      <c r="B386" s="437" t="s">
        <v>548</v>
      </c>
      <c r="C386" s="438">
        <v>2260992</v>
      </c>
      <c r="D386" s="438">
        <v>14460912</v>
      </c>
      <c r="E386" s="438">
        <v>1151298</v>
      </c>
      <c r="F386" s="446">
        <v>15570606</v>
      </c>
    </row>
    <row r="387" spans="1:6" ht="15">
      <c r="A387" s="437">
        <v>511565</v>
      </c>
      <c r="B387" s="437" t="s">
        <v>549</v>
      </c>
      <c r="C387" s="438">
        <v>168273</v>
      </c>
      <c r="D387" s="438">
        <v>1380744</v>
      </c>
      <c r="E387" s="438">
        <v>92169</v>
      </c>
      <c r="F387" s="446">
        <v>1456848</v>
      </c>
    </row>
    <row r="388" spans="1:6" ht="30">
      <c r="A388" s="437">
        <v>51156502</v>
      </c>
      <c r="B388" s="439" t="s">
        <v>550</v>
      </c>
      <c r="C388" s="438">
        <v>168273</v>
      </c>
      <c r="D388" s="438">
        <v>1380744</v>
      </c>
      <c r="E388" s="438">
        <v>92169</v>
      </c>
      <c r="F388" s="446">
        <v>1456848</v>
      </c>
    </row>
    <row r="389" spans="1:6" ht="15">
      <c r="A389" s="437">
        <v>5125</v>
      </c>
      <c r="B389" s="437" t="s">
        <v>551</v>
      </c>
      <c r="C389" s="438">
        <v>10728882.92</v>
      </c>
      <c r="D389" s="438">
        <v>1151958.91</v>
      </c>
      <c r="E389" s="438">
        <v>0</v>
      </c>
      <c r="F389" s="446">
        <v>11880841.83</v>
      </c>
    </row>
    <row r="390" spans="1:6" ht="15">
      <c r="A390" s="437">
        <v>512505</v>
      </c>
      <c r="B390" s="437" t="s">
        <v>352</v>
      </c>
      <c r="C390" s="438">
        <v>5816761.17</v>
      </c>
      <c r="D390" s="438">
        <v>528796.47</v>
      </c>
      <c r="E390" s="438">
        <v>0</v>
      </c>
      <c r="F390" s="446">
        <v>6345557.64</v>
      </c>
    </row>
    <row r="391" spans="1:6" ht="15">
      <c r="A391" s="437">
        <v>51251501</v>
      </c>
      <c r="B391" s="437" t="s">
        <v>39</v>
      </c>
      <c r="C391" s="438">
        <v>5816761.17</v>
      </c>
      <c r="D391" s="438">
        <v>528796.47</v>
      </c>
      <c r="E391" s="438">
        <v>0</v>
      </c>
      <c r="F391" s="446">
        <v>6345557.64</v>
      </c>
    </row>
    <row r="392" spans="1:6" ht="15">
      <c r="A392" s="437">
        <v>512510</v>
      </c>
      <c r="B392" s="437" t="s">
        <v>354</v>
      </c>
      <c r="C392" s="438">
        <v>2962722.07</v>
      </c>
      <c r="D392" s="438">
        <v>269338.37</v>
      </c>
      <c r="E392" s="438">
        <v>0</v>
      </c>
      <c r="F392" s="446">
        <v>3232060.44</v>
      </c>
    </row>
    <row r="393" spans="1:6" ht="15">
      <c r="A393" s="437">
        <v>51252001</v>
      </c>
      <c r="B393" s="437" t="s">
        <v>552</v>
      </c>
      <c r="C393" s="438">
        <v>2962722.07</v>
      </c>
      <c r="D393" s="438">
        <v>269338.37</v>
      </c>
      <c r="E393" s="438">
        <v>0</v>
      </c>
      <c r="F393" s="446">
        <v>3232060.44</v>
      </c>
    </row>
    <row r="394" spans="1:6" ht="15">
      <c r="A394" s="437">
        <v>512515</v>
      </c>
      <c r="B394" s="437" t="s">
        <v>357</v>
      </c>
      <c r="C394" s="438">
        <v>1949399.68</v>
      </c>
      <c r="D394" s="438">
        <v>353824.07</v>
      </c>
      <c r="E394" s="438">
        <v>0</v>
      </c>
      <c r="F394" s="446">
        <v>2303223.75</v>
      </c>
    </row>
    <row r="395" spans="1:6" ht="15">
      <c r="A395" s="437">
        <v>51252501</v>
      </c>
      <c r="B395" s="437" t="s">
        <v>553</v>
      </c>
      <c r="C395" s="438">
        <v>1949399.68</v>
      </c>
      <c r="D395" s="438">
        <v>353824.07</v>
      </c>
      <c r="E395" s="438">
        <v>0</v>
      </c>
      <c r="F395" s="446">
        <v>2303223.75</v>
      </c>
    </row>
    <row r="396" spans="1:6" ht="15">
      <c r="A396" s="437">
        <v>5200</v>
      </c>
      <c r="B396" s="437" t="s">
        <v>554</v>
      </c>
      <c r="C396" s="438">
        <v>21953964.13</v>
      </c>
      <c r="D396" s="438">
        <v>3370337</v>
      </c>
      <c r="E396" s="438">
        <v>1.72</v>
      </c>
      <c r="F396" s="446">
        <v>25324299.41</v>
      </c>
    </row>
    <row r="397" spans="1:6" ht="15">
      <c r="A397" s="437">
        <v>5210</v>
      </c>
      <c r="B397" s="437" t="s">
        <v>555</v>
      </c>
      <c r="C397" s="438">
        <v>21953964.13</v>
      </c>
      <c r="D397" s="438">
        <v>3370337</v>
      </c>
      <c r="E397" s="438">
        <v>1.72</v>
      </c>
      <c r="F397" s="446">
        <v>25324299.41</v>
      </c>
    </row>
    <row r="398" spans="1:6" ht="15">
      <c r="A398" s="437">
        <v>521005</v>
      </c>
      <c r="B398" s="437" t="s">
        <v>556</v>
      </c>
      <c r="C398" s="438">
        <v>1922800</v>
      </c>
      <c r="D398" s="438">
        <v>178590</v>
      </c>
      <c r="E398" s="438">
        <v>0</v>
      </c>
      <c r="F398" s="446">
        <v>2101390</v>
      </c>
    </row>
    <row r="399" spans="1:6" ht="15">
      <c r="A399" s="437">
        <v>51400501</v>
      </c>
      <c r="B399" s="437" t="s">
        <v>625</v>
      </c>
      <c r="C399" s="438">
        <v>1922800</v>
      </c>
      <c r="D399" s="438">
        <v>178590</v>
      </c>
      <c r="E399" s="438">
        <v>0</v>
      </c>
      <c r="F399" s="446">
        <v>2101390</v>
      </c>
    </row>
    <row r="400" spans="1:6" ht="15">
      <c r="A400" s="437">
        <v>521015</v>
      </c>
      <c r="B400" s="437" t="s">
        <v>557</v>
      </c>
      <c r="C400" s="438">
        <v>5599545.13</v>
      </c>
      <c r="D400" s="438">
        <v>1672709</v>
      </c>
      <c r="E400" s="438">
        <v>1.72</v>
      </c>
      <c r="F400" s="446">
        <v>7272252.41</v>
      </c>
    </row>
    <row r="401" spans="1:6" ht="15">
      <c r="A401" s="437">
        <v>52101501</v>
      </c>
      <c r="B401" s="437" t="s">
        <v>753</v>
      </c>
      <c r="C401" s="438">
        <v>3394250</v>
      </c>
      <c r="D401" s="438">
        <v>309600</v>
      </c>
      <c r="E401" s="438">
        <v>0</v>
      </c>
      <c r="F401" s="446">
        <v>3703850</v>
      </c>
    </row>
    <row r="402" spans="1:6" ht="15">
      <c r="A402" s="437">
        <v>53055001</v>
      </c>
      <c r="B402" s="437" t="s">
        <v>558</v>
      </c>
      <c r="C402" s="438">
        <v>1833854</v>
      </c>
      <c r="D402" s="438">
        <v>1362777</v>
      </c>
      <c r="E402" s="438">
        <v>0</v>
      </c>
      <c r="F402" s="446">
        <v>3196631</v>
      </c>
    </row>
    <row r="403" spans="1:6" ht="15">
      <c r="A403" s="437">
        <v>53059501</v>
      </c>
      <c r="B403" s="437" t="s">
        <v>559</v>
      </c>
      <c r="C403" s="438">
        <v>371441.13</v>
      </c>
      <c r="D403" s="438">
        <v>332</v>
      </c>
      <c r="E403" s="438">
        <v>1.72</v>
      </c>
      <c r="F403" s="446">
        <v>371771.41</v>
      </c>
    </row>
    <row r="404" spans="1:6" ht="15">
      <c r="A404" s="437">
        <v>521020</v>
      </c>
      <c r="B404" s="437" t="s">
        <v>560</v>
      </c>
      <c r="C404" s="438">
        <v>14431619</v>
      </c>
      <c r="D404" s="438">
        <v>1519038</v>
      </c>
      <c r="E404" s="438">
        <v>0</v>
      </c>
      <c r="F404" s="446">
        <v>15950657</v>
      </c>
    </row>
    <row r="405" spans="1:6" ht="15">
      <c r="A405" s="437">
        <v>51401501</v>
      </c>
      <c r="B405" s="437" t="s">
        <v>561</v>
      </c>
      <c r="C405" s="438">
        <v>13946051</v>
      </c>
      <c r="D405" s="438">
        <v>1450750</v>
      </c>
      <c r="E405" s="438">
        <v>0</v>
      </c>
      <c r="F405" s="446">
        <v>15396801</v>
      </c>
    </row>
    <row r="406" spans="1:6" ht="15">
      <c r="A406" s="437">
        <v>51402001</v>
      </c>
      <c r="B406" s="437" t="s">
        <v>562</v>
      </c>
      <c r="C406" s="438">
        <v>485568</v>
      </c>
      <c r="D406" s="438">
        <v>68288</v>
      </c>
      <c r="E406" s="438">
        <v>0</v>
      </c>
      <c r="F406" s="446">
        <v>553856</v>
      </c>
    </row>
    <row r="407" spans="1:6" ht="15">
      <c r="A407" s="437">
        <v>8000</v>
      </c>
      <c r="B407" s="437" t="s">
        <v>564</v>
      </c>
      <c r="C407" s="438">
        <v>0</v>
      </c>
      <c r="D407" s="438">
        <v>17617111</v>
      </c>
      <c r="E407" s="438">
        <v>17617111</v>
      </c>
      <c r="F407" s="446">
        <v>0</v>
      </c>
    </row>
    <row r="408" spans="1:6" ht="15">
      <c r="A408" s="437">
        <v>8100</v>
      </c>
      <c r="B408" s="437" t="s">
        <v>565</v>
      </c>
      <c r="C408" s="438">
        <v>23255891</v>
      </c>
      <c r="D408" s="438">
        <v>2456436</v>
      </c>
      <c r="E408" s="438">
        <v>15160675</v>
      </c>
      <c r="F408" s="446">
        <v>10551652</v>
      </c>
    </row>
    <row r="409" spans="1:6" ht="15">
      <c r="A409" s="437">
        <v>8115</v>
      </c>
      <c r="B409" s="437" t="s">
        <v>566</v>
      </c>
      <c r="C409" s="438">
        <v>23255891</v>
      </c>
      <c r="D409" s="438">
        <v>2456436</v>
      </c>
      <c r="E409" s="438">
        <v>15160675</v>
      </c>
      <c r="F409" s="446">
        <v>10551652</v>
      </c>
    </row>
    <row r="410" spans="1:6" ht="15">
      <c r="A410" s="437">
        <v>811540</v>
      </c>
      <c r="B410" s="437" t="s">
        <v>567</v>
      </c>
      <c r="C410" s="438">
        <v>1656173</v>
      </c>
      <c r="D410" s="438">
        <v>1391430</v>
      </c>
      <c r="E410" s="438">
        <v>1229741</v>
      </c>
      <c r="F410" s="446">
        <v>1817862</v>
      </c>
    </row>
    <row r="411" spans="1:6" ht="15">
      <c r="A411" s="437">
        <v>81202601</v>
      </c>
      <c r="B411" s="437" t="s">
        <v>568</v>
      </c>
      <c r="C411" s="438">
        <v>1609721</v>
      </c>
      <c r="D411" s="438">
        <v>1340635</v>
      </c>
      <c r="E411" s="438">
        <v>1184242</v>
      </c>
      <c r="F411" s="446">
        <v>1766114</v>
      </c>
    </row>
    <row r="412" spans="1:6" ht="15">
      <c r="A412" s="437">
        <v>81202602</v>
      </c>
      <c r="B412" s="437" t="s">
        <v>627</v>
      </c>
      <c r="C412" s="438">
        <v>46452</v>
      </c>
      <c r="D412" s="438">
        <v>50795</v>
      </c>
      <c r="E412" s="438">
        <v>45499</v>
      </c>
      <c r="F412" s="446">
        <v>51748</v>
      </c>
    </row>
    <row r="413" spans="1:6" ht="15">
      <c r="A413" s="437">
        <v>811545</v>
      </c>
      <c r="B413" s="437" t="s">
        <v>569</v>
      </c>
      <c r="C413" s="438">
        <v>3013173</v>
      </c>
      <c r="D413" s="438">
        <v>519799</v>
      </c>
      <c r="E413" s="438">
        <v>1182976</v>
      </c>
      <c r="F413" s="446">
        <v>2349996</v>
      </c>
    </row>
    <row r="414" spans="1:6" ht="15">
      <c r="A414" s="437">
        <v>81202801</v>
      </c>
      <c r="B414" s="437" t="s">
        <v>570</v>
      </c>
      <c r="C414" s="438">
        <v>2729573</v>
      </c>
      <c r="D414" s="438">
        <v>477125</v>
      </c>
      <c r="E414" s="438">
        <v>976531</v>
      </c>
      <c r="F414" s="446">
        <v>2230167</v>
      </c>
    </row>
    <row r="415" spans="1:6" ht="15">
      <c r="A415" s="437">
        <v>81202802</v>
      </c>
      <c r="B415" s="437" t="s">
        <v>571</v>
      </c>
      <c r="C415" s="438">
        <v>283600</v>
      </c>
      <c r="D415" s="438">
        <v>42674</v>
      </c>
      <c r="E415" s="438">
        <v>206445</v>
      </c>
      <c r="F415" s="446">
        <v>119829</v>
      </c>
    </row>
    <row r="416" spans="1:6" ht="15">
      <c r="A416" s="437">
        <v>811550</v>
      </c>
      <c r="B416" s="437" t="s">
        <v>572</v>
      </c>
      <c r="C416" s="438">
        <v>18586545</v>
      </c>
      <c r="D416" s="438">
        <v>545207</v>
      </c>
      <c r="E416" s="438">
        <v>12747958</v>
      </c>
      <c r="F416" s="446">
        <v>6383794</v>
      </c>
    </row>
    <row r="417" spans="1:6" ht="15">
      <c r="A417" s="437">
        <v>81203001</v>
      </c>
      <c r="B417" s="437" t="s">
        <v>573</v>
      </c>
      <c r="C417" s="438">
        <v>16675946</v>
      </c>
      <c r="D417" s="438">
        <v>441776</v>
      </c>
      <c r="E417" s="438">
        <v>11458951</v>
      </c>
      <c r="F417" s="446">
        <v>5658771</v>
      </c>
    </row>
    <row r="418" spans="1:6" ht="15">
      <c r="A418" s="437">
        <v>81203002</v>
      </c>
      <c r="B418" s="437" t="s">
        <v>574</v>
      </c>
      <c r="C418" s="438">
        <v>1910599</v>
      </c>
      <c r="D418" s="438">
        <v>103431</v>
      </c>
      <c r="E418" s="438">
        <v>1289007</v>
      </c>
      <c r="F418" s="446">
        <v>725023</v>
      </c>
    </row>
    <row r="419" spans="1:6" ht="15">
      <c r="A419" s="437">
        <v>8300</v>
      </c>
      <c r="B419" s="437" t="s">
        <v>575</v>
      </c>
      <c r="C419" s="438">
        <v>255943625.09</v>
      </c>
      <c r="D419" s="438">
        <v>0</v>
      </c>
      <c r="E419" s="438">
        <v>0</v>
      </c>
      <c r="F419" s="446">
        <v>255943625.09</v>
      </c>
    </row>
    <row r="420" spans="1:6" ht="15">
      <c r="A420" s="437">
        <v>8310</v>
      </c>
      <c r="B420" s="437" t="s">
        <v>576</v>
      </c>
      <c r="C420" s="438">
        <v>97533411.14</v>
      </c>
      <c r="D420" s="438">
        <v>0</v>
      </c>
      <c r="E420" s="438">
        <v>0</v>
      </c>
      <c r="F420" s="446">
        <v>97533411.14</v>
      </c>
    </row>
    <row r="421" spans="1:6" ht="15">
      <c r="A421" s="437">
        <v>831005</v>
      </c>
      <c r="B421" s="437" t="s">
        <v>31</v>
      </c>
      <c r="C421" s="438">
        <v>15562674.14</v>
      </c>
      <c r="D421" s="438">
        <v>0</v>
      </c>
      <c r="E421" s="438">
        <v>0</v>
      </c>
      <c r="F421" s="446">
        <v>15562674.14</v>
      </c>
    </row>
    <row r="422" spans="1:6" ht="15">
      <c r="A422" s="437">
        <v>83100501</v>
      </c>
      <c r="B422" s="437" t="s">
        <v>577</v>
      </c>
      <c r="C422" s="438">
        <v>14587523.1</v>
      </c>
      <c r="D422" s="438">
        <v>0</v>
      </c>
      <c r="E422" s="438">
        <v>0</v>
      </c>
      <c r="F422" s="446">
        <v>14587523.1</v>
      </c>
    </row>
    <row r="423" spans="1:6" ht="15">
      <c r="A423" s="437">
        <v>83100502</v>
      </c>
      <c r="B423" s="437" t="s">
        <v>578</v>
      </c>
      <c r="C423" s="438">
        <v>975151.04</v>
      </c>
      <c r="D423" s="438">
        <v>0</v>
      </c>
      <c r="E423" s="438">
        <v>0</v>
      </c>
      <c r="F423" s="446">
        <v>975151.04</v>
      </c>
    </row>
    <row r="424" spans="1:6" ht="15">
      <c r="A424" s="437">
        <v>831015</v>
      </c>
      <c r="B424" s="437" t="s">
        <v>579</v>
      </c>
      <c r="C424" s="438">
        <v>81970737</v>
      </c>
      <c r="D424" s="438">
        <v>0</v>
      </c>
      <c r="E424" s="438">
        <v>0</v>
      </c>
      <c r="F424" s="446">
        <v>81970737</v>
      </c>
    </row>
    <row r="425" spans="1:6" ht="15">
      <c r="A425" s="437">
        <v>83101501</v>
      </c>
      <c r="B425" s="437" t="s">
        <v>580</v>
      </c>
      <c r="C425" s="438">
        <v>67584594</v>
      </c>
      <c r="D425" s="438">
        <v>0</v>
      </c>
      <c r="E425" s="438">
        <v>0</v>
      </c>
      <c r="F425" s="446">
        <v>67584594</v>
      </c>
    </row>
    <row r="426" spans="1:6" ht="15">
      <c r="A426" s="437">
        <v>83102501</v>
      </c>
      <c r="B426" s="437" t="s">
        <v>581</v>
      </c>
      <c r="C426" s="438">
        <v>8064477</v>
      </c>
      <c r="D426" s="438">
        <v>0</v>
      </c>
      <c r="E426" s="438">
        <v>0</v>
      </c>
      <c r="F426" s="446">
        <v>8064477</v>
      </c>
    </row>
    <row r="427" spans="1:6" ht="15">
      <c r="A427" s="437">
        <v>83102502</v>
      </c>
      <c r="B427" s="437" t="s">
        <v>582</v>
      </c>
      <c r="C427" s="438">
        <v>6321666</v>
      </c>
      <c r="D427" s="438">
        <v>0</v>
      </c>
      <c r="E427" s="438">
        <v>0</v>
      </c>
      <c r="F427" s="446">
        <v>6321666</v>
      </c>
    </row>
    <row r="428" spans="1:6" ht="15">
      <c r="A428" s="437">
        <v>8320</v>
      </c>
      <c r="B428" s="437" t="s">
        <v>583</v>
      </c>
      <c r="C428" s="438">
        <v>158410213.95</v>
      </c>
      <c r="D428" s="438">
        <v>0</v>
      </c>
      <c r="E428" s="438">
        <v>0</v>
      </c>
      <c r="F428" s="446">
        <v>158410213.95</v>
      </c>
    </row>
    <row r="429" spans="1:6" ht="15">
      <c r="A429" s="437">
        <v>83201001</v>
      </c>
      <c r="B429" s="437" t="s">
        <v>39</v>
      </c>
      <c r="C429" s="438">
        <v>17745986</v>
      </c>
      <c r="D429" s="438">
        <v>0</v>
      </c>
      <c r="E429" s="438">
        <v>0</v>
      </c>
      <c r="F429" s="446">
        <v>17745986</v>
      </c>
    </row>
    <row r="430" spans="1:6" ht="15">
      <c r="A430" s="437">
        <v>83201501</v>
      </c>
      <c r="B430" s="437" t="s">
        <v>584</v>
      </c>
      <c r="C430" s="438">
        <v>48869975</v>
      </c>
      <c r="D430" s="438">
        <v>0</v>
      </c>
      <c r="E430" s="438">
        <v>0</v>
      </c>
      <c r="F430" s="446">
        <v>48869975</v>
      </c>
    </row>
    <row r="431" spans="1:6" ht="15">
      <c r="A431" s="437">
        <v>83202001</v>
      </c>
      <c r="B431" s="437" t="s">
        <v>585</v>
      </c>
      <c r="C431" s="438">
        <v>91794252.95</v>
      </c>
      <c r="D431" s="438">
        <v>0</v>
      </c>
      <c r="E431" s="438">
        <v>0</v>
      </c>
      <c r="F431" s="446">
        <v>91794252.95</v>
      </c>
    </row>
    <row r="432" spans="1:6" ht="15">
      <c r="A432" s="437">
        <v>8600</v>
      </c>
      <c r="B432" s="437" t="s">
        <v>586</v>
      </c>
      <c r="C432" s="438">
        <v>-105226628</v>
      </c>
      <c r="D432" s="438">
        <v>15160675</v>
      </c>
      <c r="E432" s="438">
        <v>2456436</v>
      </c>
      <c r="F432" s="446">
        <v>-92522389</v>
      </c>
    </row>
    <row r="433" spans="1:6" ht="15">
      <c r="A433" s="437">
        <v>86050101</v>
      </c>
      <c r="B433" s="437" t="s">
        <v>587</v>
      </c>
      <c r="C433" s="438">
        <v>-23255891</v>
      </c>
      <c r="D433" s="438">
        <v>15160675</v>
      </c>
      <c r="E433" s="438">
        <v>2456436</v>
      </c>
      <c r="F433" s="446">
        <v>-10551652</v>
      </c>
    </row>
    <row r="434" spans="1:6" ht="15">
      <c r="A434" s="437">
        <v>88050101</v>
      </c>
      <c r="B434" s="437" t="s">
        <v>588</v>
      </c>
      <c r="C434" s="438">
        <v>-81970737</v>
      </c>
      <c r="D434" s="438">
        <v>0</v>
      </c>
      <c r="E434" s="438">
        <v>0</v>
      </c>
      <c r="F434" s="446">
        <v>-81970737</v>
      </c>
    </row>
    <row r="435" spans="1:6" ht="15">
      <c r="A435" s="437">
        <v>8800</v>
      </c>
      <c r="B435" s="437" t="s">
        <v>589</v>
      </c>
      <c r="C435" s="438">
        <v>-173972888.09</v>
      </c>
      <c r="D435" s="438">
        <v>0</v>
      </c>
      <c r="E435" s="438">
        <v>0</v>
      </c>
      <c r="F435" s="446">
        <v>-173972888.09</v>
      </c>
    </row>
    <row r="436" spans="1:6" ht="15">
      <c r="A436" s="437">
        <v>88050501</v>
      </c>
      <c r="B436" s="437" t="s">
        <v>590</v>
      </c>
      <c r="C436" s="438">
        <v>-17745986</v>
      </c>
      <c r="D436" s="438">
        <v>0</v>
      </c>
      <c r="E436" s="438">
        <v>0</v>
      </c>
      <c r="F436" s="446">
        <v>-17745986</v>
      </c>
    </row>
    <row r="437" spans="1:6" ht="15">
      <c r="A437" s="437">
        <v>88051001</v>
      </c>
      <c r="B437" s="437" t="s">
        <v>591</v>
      </c>
      <c r="C437" s="438">
        <v>-200000</v>
      </c>
      <c r="D437" s="438">
        <v>0</v>
      </c>
      <c r="E437" s="438">
        <v>0</v>
      </c>
      <c r="F437" s="446">
        <v>-200000</v>
      </c>
    </row>
    <row r="438" spans="1:6" ht="15">
      <c r="A438" s="437">
        <v>88051501</v>
      </c>
      <c r="B438" s="437" t="s">
        <v>592</v>
      </c>
      <c r="C438" s="438">
        <v>-48869975</v>
      </c>
      <c r="D438" s="438">
        <v>0</v>
      </c>
      <c r="E438" s="438">
        <v>0</v>
      </c>
      <c r="F438" s="446">
        <v>-48869975</v>
      </c>
    </row>
    <row r="439" spans="1:6" ht="15">
      <c r="A439" s="437">
        <v>88052001</v>
      </c>
      <c r="B439" s="437" t="s">
        <v>593</v>
      </c>
      <c r="C439" s="438">
        <v>-91594252.95</v>
      </c>
      <c r="D439" s="438">
        <v>0</v>
      </c>
      <c r="E439" s="438">
        <v>0</v>
      </c>
      <c r="F439" s="446">
        <v>-91594252.95</v>
      </c>
    </row>
    <row r="440" spans="1:6" ht="15">
      <c r="A440" s="437">
        <v>88052501</v>
      </c>
      <c r="B440" s="437" t="s">
        <v>577</v>
      </c>
      <c r="C440" s="438">
        <v>-14587523.1</v>
      </c>
      <c r="D440" s="438">
        <v>0</v>
      </c>
      <c r="E440" s="438">
        <v>0</v>
      </c>
      <c r="F440" s="446">
        <v>-14587523.1</v>
      </c>
    </row>
    <row r="441" spans="1:6" ht="15">
      <c r="A441" s="437">
        <v>88052502</v>
      </c>
      <c r="B441" s="437" t="s">
        <v>578</v>
      </c>
      <c r="C441" s="438">
        <v>-975151.04</v>
      </c>
      <c r="D441" s="438">
        <v>0</v>
      </c>
      <c r="E441" s="438">
        <v>0</v>
      </c>
      <c r="F441" s="446">
        <v>-975151.04</v>
      </c>
    </row>
    <row r="442" spans="1:6" ht="15">
      <c r="A442" s="437">
        <v>9000</v>
      </c>
      <c r="B442" s="437" t="s">
        <v>564</v>
      </c>
      <c r="C442" s="438">
        <v>0</v>
      </c>
      <c r="D442" s="438">
        <v>60044561.64</v>
      </c>
      <c r="E442" s="438">
        <v>60044561.64</v>
      </c>
      <c r="F442" s="446">
        <v>0</v>
      </c>
    </row>
    <row r="443" spans="1:6" ht="15">
      <c r="A443" s="437">
        <v>9100</v>
      </c>
      <c r="B443" s="437" t="s">
        <v>594</v>
      </c>
      <c r="C443" s="438">
        <v>6568226288.8</v>
      </c>
      <c r="D443" s="438">
        <v>60044561.64</v>
      </c>
      <c r="E443" s="438">
        <v>0</v>
      </c>
      <c r="F443" s="446">
        <v>6508181727.16</v>
      </c>
    </row>
    <row r="444" spans="1:6" ht="15">
      <c r="A444" s="437">
        <v>9110</v>
      </c>
      <c r="B444" s="437" t="s">
        <v>595</v>
      </c>
      <c r="C444" s="438">
        <v>6491118480.8</v>
      </c>
      <c r="D444" s="438">
        <v>60044561.64</v>
      </c>
      <c r="E444" s="438">
        <v>0</v>
      </c>
      <c r="F444" s="446">
        <v>6431073919.16</v>
      </c>
    </row>
    <row r="445" spans="1:6" ht="15">
      <c r="A445" s="437">
        <v>91100501</v>
      </c>
      <c r="B445" s="437" t="s">
        <v>596</v>
      </c>
      <c r="C445" s="438">
        <v>3988837522</v>
      </c>
      <c r="D445" s="438">
        <v>0</v>
      </c>
      <c r="E445" s="438">
        <v>0</v>
      </c>
      <c r="F445" s="446">
        <v>3988837522</v>
      </c>
    </row>
    <row r="446" spans="1:6" ht="15">
      <c r="A446" s="437">
        <v>91151001</v>
      </c>
      <c r="B446" s="437" t="s">
        <v>597</v>
      </c>
      <c r="C446" s="438">
        <v>-1722140534</v>
      </c>
      <c r="D446" s="438">
        <v>0</v>
      </c>
      <c r="E446" s="438">
        <v>0</v>
      </c>
      <c r="F446" s="446">
        <v>-1722140534</v>
      </c>
    </row>
    <row r="447" spans="1:6" ht="15">
      <c r="A447" s="437">
        <v>91151003</v>
      </c>
      <c r="B447" s="437" t="s">
        <v>754</v>
      </c>
      <c r="C447" s="438">
        <v>4224421492.8</v>
      </c>
      <c r="D447" s="438">
        <v>60044561.64</v>
      </c>
      <c r="E447" s="438">
        <v>0</v>
      </c>
      <c r="F447" s="446">
        <v>4164376931.16</v>
      </c>
    </row>
    <row r="448" spans="1:6" ht="15">
      <c r="A448" s="437">
        <v>9115</v>
      </c>
      <c r="B448" s="437" t="s">
        <v>598</v>
      </c>
      <c r="C448" s="438">
        <v>69171149</v>
      </c>
      <c r="D448" s="438">
        <v>0</v>
      </c>
      <c r="E448" s="438">
        <v>0</v>
      </c>
      <c r="F448" s="446">
        <v>69171149</v>
      </c>
    </row>
    <row r="449" spans="1:6" ht="15">
      <c r="A449" s="437">
        <v>91250501</v>
      </c>
      <c r="B449" s="437" t="s">
        <v>599</v>
      </c>
      <c r="C449" s="438">
        <v>69171149</v>
      </c>
      <c r="D449" s="438">
        <v>0</v>
      </c>
      <c r="E449" s="438">
        <v>0</v>
      </c>
      <c r="F449" s="446">
        <v>69171149</v>
      </c>
    </row>
    <row r="450" spans="1:6" ht="15">
      <c r="A450" s="437">
        <v>9125</v>
      </c>
      <c r="B450" s="437" t="s">
        <v>600</v>
      </c>
      <c r="C450" s="438">
        <v>7936659</v>
      </c>
      <c r="D450" s="438">
        <v>0</v>
      </c>
      <c r="E450" s="438">
        <v>0</v>
      </c>
      <c r="F450" s="446">
        <v>7936659</v>
      </c>
    </row>
    <row r="451" spans="1:6" ht="15">
      <c r="A451" s="437">
        <v>91858501</v>
      </c>
      <c r="B451" s="437" t="s">
        <v>367</v>
      </c>
      <c r="C451" s="438">
        <v>7936659</v>
      </c>
      <c r="D451" s="438">
        <v>0</v>
      </c>
      <c r="E451" s="438">
        <v>0</v>
      </c>
      <c r="F451" s="446">
        <v>7936659</v>
      </c>
    </row>
    <row r="452" spans="1:6" ht="15">
      <c r="A452" s="437">
        <v>9600</v>
      </c>
      <c r="B452" s="437" t="s">
        <v>601</v>
      </c>
      <c r="C452" s="438">
        <v>-6568226288.8</v>
      </c>
      <c r="D452" s="438">
        <v>0</v>
      </c>
      <c r="E452" s="438">
        <v>60044561.64</v>
      </c>
      <c r="F452" s="446">
        <v>-6508181727.16</v>
      </c>
    </row>
    <row r="453" spans="1:6" ht="15">
      <c r="A453" s="437">
        <v>9605</v>
      </c>
      <c r="B453" s="437" t="s">
        <v>602</v>
      </c>
      <c r="C453" s="438">
        <v>-6568226288.8</v>
      </c>
      <c r="D453" s="438">
        <v>0</v>
      </c>
      <c r="E453" s="438">
        <v>60044561.64</v>
      </c>
      <c r="F453" s="446">
        <v>-6508181727.16</v>
      </c>
    </row>
    <row r="454" spans="1:6" ht="15">
      <c r="A454" s="437">
        <v>81859501</v>
      </c>
      <c r="B454" s="437" t="s">
        <v>367</v>
      </c>
      <c r="C454" s="438">
        <v>-7936659</v>
      </c>
      <c r="D454" s="438">
        <v>0</v>
      </c>
      <c r="E454" s="438">
        <v>0</v>
      </c>
      <c r="F454" s="446">
        <v>-7936659</v>
      </c>
    </row>
    <row r="455" spans="1:6" ht="15">
      <c r="A455" s="437">
        <v>96050101</v>
      </c>
      <c r="B455" s="437" t="s">
        <v>603</v>
      </c>
      <c r="C455" s="438">
        <v>-69171149</v>
      </c>
      <c r="D455" s="438">
        <v>0</v>
      </c>
      <c r="E455" s="438">
        <v>0</v>
      </c>
      <c r="F455" s="446">
        <v>-69171149</v>
      </c>
    </row>
    <row r="456" spans="1:6" ht="15">
      <c r="A456" s="437">
        <v>96050102</v>
      </c>
      <c r="B456" s="437" t="s">
        <v>604</v>
      </c>
      <c r="C456" s="438">
        <v>-2266696988</v>
      </c>
      <c r="D456" s="438">
        <v>0</v>
      </c>
      <c r="E456" s="438">
        <v>0</v>
      </c>
      <c r="F456" s="446">
        <v>-2266696988</v>
      </c>
    </row>
    <row r="457" spans="1:6" ht="15">
      <c r="A457" s="437">
        <v>96050107</v>
      </c>
      <c r="B457" s="437" t="s">
        <v>755</v>
      </c>
      <c r="C457" s="438">
        <v>-4224421492.8</v>
      </c>
      <c r="D457" s="438">
        <v>0</v>
      </c>
      <c r="E457" s="438">
        <v>60044561.64</v>
      </c>
      <c r="F457" s="446">
        <v>-4164376931.16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6"/>
  <sheetViews>
    <sheetView zoomScale="160" zoomScaleNormal="160" zoomScalePageLayoutView="0" workbookViewId="0" topLeftCell="A1">
      <pane ySplit="1" topLeftCell="A17" activePane="bottomLeft" state="frozen"/>
      <selection pane="topLeft" activeCell="A1" sqref="A1:F428"/>
      <selection pane="bottomLeft" activeCell="F14" activeCellId="1" sqref="F3 F14"/>
    </sheetView>
  </sheetViews>
  <sheetFormatPr defaultColWidth="11.421875" defaultRowHeight="12.75"/>
  <cols>
    <col min="1" max="1" width="9.57421875" style="0" bestFit="1" customWidth="1"/>
    <col min="2" max="2" width="33.00390625" style="0" customWidth="1"/>
    <col min="3" max="3" width="16.421875" style="0" bestFit="1" customWidth="1"/>
    <col min="4" max="5" width="11.140625" style="0" bestFit="1" customWidth="1"/>
    <col min="6" max="6" width="11.57421875" style="0" bestFit="1" customWidth="1"/>
    <col min="7" max="7" width="13.421875" style="0" customWidth="1"/>
    <col min="8" max="8" width="13.7109375" style="0" bestFit="1" customWidth="1"/>
  </cols>
  <sheetData>
    <row r="1" spans="1:7" ht="15">
      <c r="A1" s="339" t="s">
        <v>244</v>
      </c>
      <c r="B1" s="339" t="s">
        <v>245</v>
      </c>
      <c r="C1" s="339" t="s">
        <v>246</v>
      </c>
      <c r="D1" s="339" t="s">
        <v>247</v>
      </c>
      <c r="E1" s="339" t="s">
        <v>248</v>
      </c>
      <c r="F1" s="339" t="s">
        <v>249</v>
      </c>
      <c r="G1" s="340" t="s">
        <v>250</v>
      </c>
    </row>
    <row r="2" spans="1:7" ht="12.75">
      <c r="A2" s="341">
        <v>1000</v>
      </c>
      <c r="B2" s="341" t="s">
        <v>251</v>
      </c>
      <c r="C2" s="342">
        <v>6969167817.46</v>
      </c>
      <c r="D2" s="342">
        <v>1854711426.45</v>
      </c>
      <c r="E2" s="342">
        <v>1743958043.59</v>
      </c>
      <c r="F2" s="342">
        <v>7079921200.32</v>
      </c>
      <c r="G2" s="342">
        <f>+F2-C2</f>
        <v>110753382.85999966</v>
      </c>
    </row>
    <row r="3" spans="1:7" ht="12.75">
      <c r="A3" s="341">
        <v>1100</v>
      </c>
      <c r="B3" s="341" t="s">
        <v>252</v>
      </c>
      <c r="C3" s="342">
        <v>95755669.76</v>
      </c>
      <c r="D3" s="342">
        <v>805102259.4</v>
      </c>
      <c r="E3" s="342">
        <v>594385545.9</v>
      </c>
      <c r="F3" s="342">
        <v>306472383.26</v>
      </c>
      <c r="G3" s="342">
        <f aca="true" t="shared" si="0" ref="G3:G66">+F3-C3</f>
        <v>210716713.5</v>
      </c>
    </row>
    <row r="4" spans="1:7" ht="12.75">
      <c r="A4" s="341">
        <v>1105</v>
      </c>
      <c r="B4" s="341" t="s">
        <v>253</v>
      </c>
      <c r="C4" s="342">
        <v>1273521.9</v>
      </c>
      <c r="D4" s="342">
        <v>198108671</v>
      </c>
      <c r="E4" s="342">
        <v>199382192.9</v>
      </c>
      <c r="F4" s="342">
        <v>0</v>
      </c>
      <c r="G4" s="342">
        <f t="shared" si="0"/>
        <v>-1273521.9</v>
      </c>
    </row>
    <row r="5" spans="1:7" ht="12.75">
      <c r="A5" s="341">
        <v>110505</v>
      </c>
      <c r="B5" s="341" t="s">
        <v>254</v>
      </c>
      <c r="C5" s="342">
        <v>273521.9</v>
      </c>
      <c r="D5" s="342">
        <v>198108671</v>
      </c>
      <c r="E5" s="342">
        <v>198382192.9</v>
      </c>
      <c r="F5" s="342">
        <v>0</v>
      </c>
      <c r="G5" s="342">
        <f t="shared" si="0"/>
        <v>-273521.9</v>
      </c>
    </row>
    <row r="6" spans="1:7" ht="12.75">
      <c r="A6" s="341">
        <v>11050501</v>
      </c>
      <c r="B6" s="341" t="s">
        <v>255</v>
      </c>
      <c r="C6" s="342">
        <v>273521.9</v>
      </c>
      <c r="D6" s="342">
        <v>198108671</v>
      </c>
      <c r="E6" s="342">
        <v>198382192.9</v>
      </c>
      <c r="F6" s="342">
        <v>0</v>
      </c>
      <c r="G6" s="342">
        <f t="shared" si="0"/>
        <v>-273521.9</v>
      </c>
    </row>
    <row r="7" spans="1:7" ht="12.75">
      <c r="A7" s="341">
        <v>110510</v>
      </c>
      <c r="B7" s="341" t="s">
        <v>256</v>
      </c>
      <c r="C7" s="342">
        <v>1000000</v>
      </c>
      <c r="D7" s="342">
        <v>0</v>
      </c>
      <c r="E7" s="342">
        <v>1000000</v>
      </c>
      <c r="F7" s="342">
        <v>0</v>
      </c>
      <c r="G7" s="342">
        <f t="shared" si="0"/>
        <v>-1000000</v>
      </c>
    </row>
    <row r="8" spans="1:7" ht="12.75">
      <c r="A8" s="341">
        <v>11051001</v>
      </c>
      <c r="B8" s="341" t="s">
        <v>257</v>
      </c>
      <c r="C8" s="342">
        <v>1000000</v>
      </c>
      <c r="D8" s="342">
        <v>0</v>
      </c>
      <c r="E8" s="342">
        <v>1000000</v>
      </c>
      <c r="F8" s="342">
        <v>0</v>
      </c>
      <c r="G8" s="342">
        <f t="shared" si="0"/>
        <v>-1000000</v>
      </c>
    </row>
    <row r="9" spans="1:7" ht="12.75">
      <c r="A9" s="341">
        <v>1110</v>
      </c>
      <c r="B9" s="341" t="s">
        <v>258</v>
      </c>
      <c r="C9" s="342">
        <v>94482147.86</v>
      </c>
      <c r="D9" s="342">
        <v>606993588.4</v>
      </c>
      <c r="E9" s="342">
        <v>395003353</v>
      </c>
      <c r="F9" s="342">
        <v>306472383.26</v>
      </c>
      <c r="G9" s="342">
        <f t="shared" si="0"/>
        <v>211990235.39999998</v>
      </c>
    </row>
    <row r="10" spans="1:7" ht="12.75">
      <c r="A10" s="341">
        <v>111005</v>
      </c>
      <c r="B10" s="341" t="s">
        <v>259</v>
      </c>
      <c r="C10" s="342">
        <v>94482147.86</v>
      </c>
      <c r="D10" s="342">
        <v>606993588.4</v>
      </c>
      <c r="E10" s="342">
        <v>395003353</v>
      </c>
      <c r="F10" s="342">
        <v>306472383.26</v>
      </c>
      <c r="G10" s="342">
        <f t="shared" si="0"/>
        <v>211990235.39999998</v>
      </c>
    </row>
    <row r="11" spans="1:7" ht="12.75">
      <c r="A11" s="341">
        <v>11100501</v>
      </c>
      <c r="B11" s="341" t="s">
        <v>260</v>
      </c>
      <c r="C11" s="342">
        <v>2941203.46</v>
      </c>
      <c r="D11" s="342">
        <v>39870170</v>
      </c>
      <c r="E11" s="342">
        <v>42766765</v>
      </c>
      <c r="F11" s="342">
        <v>44608.46</v>
      </c>
      <c r="G11" s="342">
        <f t="shared" si="0"/>
        <v>-2896595</v>
      </c>
    </row>
    <row r="12" spans="1:7" ht="12.75">
      <c r="A12" s="341">
        <v>11100502</v>
      </c>
      <c r="B12" s="341" t="s">
        <v>261</v>
      </c>
      <c r="C12" s="342">
        <v>-6680455</v>
      </c>
      <c r="D12" s="342">
        <v>365368407.4</v>
      </c>
      <c r="E12" s="342">
        <v>256926624</v>
      </c>
      <c r="F12" s="342">
        <v>101761328.4</v>
      </c>
      <c r="G12" s="342">
        <f t="shared" si="0"/>
        <v>108441783.4</v>
      </c>
    </row>
    <row r="13" spans="1:7" ht="12.75">
      <c r="A13" s="341">
        <v>11100506</v>
      </c>
      <c r="B13" s="341" t="s">
        <v>262</v>
      </c>
      <c r="C13" s="342">
        <v>98221399.4</v>
      </c>
      <c r="D13" s="342">
        <v>201755011</v>
      </c>
      <c r="E13" s="342">
        <v>95309964</v>
      </c>
      <c r="F13" s="342">
        <v>204666446.4</v>
      </c>
      <c r="G13" s="342">
        <f t="shared" si="0"/>
        <v>106445047</v>
      </c>
    </row>
    <row r="14" spans="1:7" ht="12.75">
      <c r="A14" s="341">
        <v>1200</v>
      </c>
      <c r="B14" s="341" t="s">
        <v>31</v>
      </c>
      <c r="C14" s="342">
        <v>1309371694</v>
      </c>
      <c r="D14" s="342">
        <v>110209506</v>
      </c>
      <c r="E14" s="342">
        <v>53664936</v>
      </c>
      <c r="F14" s="342">
        <v>1365916264</v>
      </c>
      <c r="G14" s="342">
        <f t="shared" si="0"/>
        <v>56544570</v>
      </c>
    </row>
    <row r="15" spans="1:7" ht="12.75">
      <c r="A15" s="341">
        <v>1203</v>
      </c>
      <c r="B15" s="341" t="s">
        <v>270</v>
      </c>
      <c r="C15" s="342">
        <v>1281649422</v>
      </c>
      <c r="D15" s="342">
        <v>107725158</v>
      </c>
      <c r="E15" s="342">
        <v>51180588</v>
      </c>
      <c r="F15" s="342">
        <v>1338193992</v>
      </c>
      <c r="G15" s="342">
        <f t="shared" si="0"/>
        <v>56544570</v>
      </c>
    </row>
    <row r="16" spans="1:7" ht="12.75">
      <c r="A16" s="341">
        <v>120310</v>
      </c>
      <c r="B16" s="341" t="s">
        <v>271</v>
      </c>
      <c r="C16" s="342">
        <v>1281649422</v>
      </c>
      <c r="D16" s="342">
        <v>107725158</v>
      </c>
      <c r="E16" s="342">
        <v>51180588</v>
      </c>
      <c r="F16" s="342">
        <v>1338193992</v>
      </c>
      <c r="G16" s="342">
        <f t="shared" si="0"/>
        <v>56544570</v>
      </c>
    </row>
    <row r="17" spans="1:7" ht="12.75">
      <c r="A17" s="341">
        <v>12081101</v>
      </c>
      <c r="B17" s="341" t="s">
        <v>265</v>
      </c>
      <c r="C17" s="342">
        <v>611650393</v>
      </c>
      <c r="D17" s="342">
        <v>100941440</v>
      </c>
      <c r="E17" s="342">
        <v>51180588</v>
      </c>
      <c r="F17" s="342">
        <v>661411245</v>
      </c>
      <c r="G17" s="342">
        <f t="shared" si="0"/>
        <v>49760852</v>
      </c>
    </row>
    <row r="18" spans="1:7" ht="12.75">
      <c r="A18" s="341">
        <v>12081103</v>
      </c>
      <c r="B18" s="341" t="s">
        <v>266</v>
      </c>
      <c r="C18" s="342">
        <v>224999029</v>
      </c>
      <c r="D18" s="342">
        <v>1073293</v>
      </c>
      <c r="E18" s="342">
        <v>0</v>
      </c>
      <c r="F18" s="342">
        <v>226072322</v>
      </c>
      <c r="G18" s="342">
        <f t="shared" si="0"/>
        <v>1073293</v>
      </c>
    </row>
    <row r="19" spans="1:7" ht="12.75">
      <c r="A19" s="341">
        <v>12081105</v>
      </c>
      <c r="B19" s="341" t="s">
        <v>267</v>
      </c>
      <c r="C19" s="342">
        <v>445000000</v>
      </c>
      <c r="D19" s="342">
        <v>5710425</v>
      </c>
      <c r="E19" s="342">
        <v>0</v>
      </c>
      <c r="F19" s="342">
        <v>450710425</v>
      </c>
      <c r="G19" s="342">
        <f t="shared" si="0"/>
        <v>5710425</v>
      </c>
    </row>
    <row r="20" spans="1:7" ht="12.75">
      <c r="A20" s="341">
        <v>1226</v>
      </c>
      <c r="B20" s="341" t="s">
        <v>272</v>
      </c>
      <c r="C20" s="342">
        <v>27722272</v>
      </c>
      <c r="D20" s="342">
        <v>2484348</v>
      </c>
      <c r="E20" s="342">
        <v>2484348</v>
      </c>
      <c r="F20" s="342">
        <v>27722272</v>
      </c>
      <c r="G20" s="342">
        <f t="shared" si="0"/>
        <v>0</v>
      </c>
    </row>
    <row r="21" spans="1:7" ht="12.75">
      <c r="A21" s="341">
        <v>122602</v>
      </c>
      <c r="B21" s="341" t="s">
        <v>273</v>
      </c>
      <c r="C21" s="342">
        <v>27722272</v>
      </c>
      <c r="D21" s="342">
        <v>2484348</v>
      </c>
      <c r="E21" s="342">
        <v>2484348</v>
      </c>
      <c r="F21" s="342">
        <v>27722272</v>
      </c>
      <c r="G21" s="342">
        <f t="shared" si="0"/>
        <v>0</v>
      </c>
    </row>
    <row r="22" spans="1:7" ht="12.75">
      <c r="A22" s="341">
        <v>12014503</v>
      </c>
      <c r="B22" s="341" t="s">
        <v>274</v>
      </c>
      <c r="C22" s="342">
        <v>27722272</v>
      </c>
      <c r="D22" s="342">
        <v>0</v>
      </c>
      <c r="E22" s="342">
        <v>2484348</v>
      </c>
      <c r="F22" s="342">
        <v>25237924</v>
      </c>
      <c r="G22" s="342">
        <f t="shared" si="0"/>
        <v>-2484348</v>
      </c>
    </row>
    <row r="23" spans="1:7" ht="12.75">
      <c r="A23" s="341">
        <v>12014504</v>
      </c>
      <c r="B23" s="341" t="s">
        <v>275</v>
      </c>
      <c r="C23" s="342">
        <v>0</v>
      </c>
      <c r="D23" s="342">
        <v>2484348</v>
      </c>
      <c r="E23" s="342">
        <v>0</v>
      </c>
      <c r="F23" s="342">
        <v>2484348</v>
      </c>
      <c r="G23" s="342">
        <f t="shared" si="0"/>
        <v>2484348</v>
      </c>
    </row>
    <row r="24" spans="1:8" ht="12.75">
      <c r="A24" s="341">
        <v>1400</v>
      </c>
      <c r="B24" s="341" t="s">
        <v>276</v>
      </c>
      <c r="C24" s="342">
        <v>4791043480.93</v>
      </c>
      <c r="D24" s="342">
        <v>859146122.05</v>
      </c>
      <c r="E24" s="342">
        <v>913045239.96</v>
      </c>
      <c r="F24" s="342">
        <v>4737144363.02</v>
      </c>
      <c r="G24" s="342">
        <f t="shared" si="0"/>
        <v>-53899117.90999985</v>
      </c>
      <c r="H24" s="353">
        <f>+F24-F71-F80-F87</f>
        <v>4897047494.93</v>
      </c>
    </row>
    <row r="25" spans="1:7" ht="12.75">
      <c r="A25" s="341">
        <v>1411</v>
      </c>
      <c r="B25" s="341" t="s">
        <v>277</v>
      </c>
      <c r="C25" s="342">
        <v>130058370</v>
      </c>
      <c r="D25" s="342">
        <v>107418</v>
      </c>
      <c r="E25" s="342">
        <v>2395602</v>
      </c>
      <c r="F25" s="342">
        <v>127770186</v>
      </c>
      <c r="G25" s="342">
        <f t="shared" si="0"/>
        <v>-2288184</v>
      </c>
    </row>
    <row r="26" spans="1:7" ht="12.75">
      <c r="A26" s="341">
        <v>141105</v>
      </c>
      <c r="B26" s="341" t="s">
        <v>278</v>
      </c>
      <c r="C26" s="342">
        <v>106095605</v>
      </c>
      <c r="D26" s="342">
        <v>107418</v>
      </c>
      <c r="E26" s="342">
        <v>2288184</v>
      </c>
      <c r="F26" s="342">
        <v>103914839</v>
      </c>
      <c r="G26" s="342">
        <f t="shared" si="0"/>
        <v>-2180766</v>
      </c>
    </row>
    <row r="27" spans="1:7" ht="12.75">
      <c r="A27" s="341">
        <v>14110501</v>
      </c>
      <c r="B27" s="341" t="s">
        <v>279</v>
      </c>
      <c r="C27" s="342">
        <v>106095605</v>
      </c>
      <c r="D27" s="342">
        <v>107418</v>
      </c>
      <c r="E27" s="342">
        <v>2288184</v>
      </c>
      <c r="F27" s="342">
        <v>103914839</v>
      </c>
      <c r="G27" s="342">
        <f t="shared" si="0"/>
        <v>-2180766</v>
      </c>
    </row>
    <row r="28" spans="1:7" ht="12.75">
      <c r="A28" s="341">
        <v>141110</v>
      </c>
      <c r="B28" s="341" t="s">
        <v>280</v>
      </c>
      <c r="C28" s="342">
        <v>23962765</v>
      </c>
      <c r="D28" s="342">
        <v>0</v>
      </c>
      <c r="E28" s="342">
        <v>107418</v>
      </c>
      <c r="F28" s="342">
        <v>23855347</v>
      </c>
      <c r="G28" s="342">
        <f t="shared" si="0"/>
        <v>-107418</v>
      </c>
    </row>
    <row r="29" spans="1:7" ht="12.75">
      <c r="A29" s="341">
        <v>14111001</v>
      </c>
      <c r="B29" s="341" t="s">
        <v>281</v>
      </c>
      <c r="C29" s="342">
        <v>23962765</v>
      </c>
      <c r="D29" s="342">
        <v>0</v>
      </c>
      <c r="E29" s="342">
        <v>107418</v>
      </c>
      <c r="F29" s="342">
        <v>23855347</v>
      </c>
      <c r="G29" s="342">
        <f t="shared" si="0"/>
        <v>-107418</v>
      </c>
    </row>
    <row r="30" spans="1:7" ht="12.75">
      <c r="A30" s="341">
        <v>1412</v>
      </c>
      <c r="B30" s="341" t="s">
        <v>282</v>
      </c>
      <c r="C30" s="342">
        <v>389600340</v>
      </c>
      <c r="D30" s="342">
        <v>13953392</v>
      </c>
      <c r="E30" s="342">
        <v>22588573</v>
      </c>
      <c r="F30" s="342">
        <v>380965159</v>
      </c>
      <c r="G30" s="342">
        <f t="shared" si="0"/>
        <v>-8635181</v>
      </c>
    </row>
    <row r="31" spans="1:7" ht="12.75">
      <c r="A31" s="341">
        <v>141205</v>
      </c>
      <c r="B31" s="341" t="s">
        <v>278</v>
      </c>
      <c r="C31" s="342">
        <v>318486471</v>
      </c>
      <c r="D31" s="342">
        <v>3717596</v>
      </c>
      <c r="E31" s="342">
        <v>18870977</v>
      </c>
      <c r="F31" s="342">
        <v>303333090</v>
      </c>
      <c r="G31" s="342">
        <f t="shared" si="0"/>
        <v>-15153381</v>
      </c>
    </row>
    <row r="32" spans="1:7" ht="12.75">
      <c r="A32" s="341">
        <v>14120501</v>
      </c>
      <c r="B32" s="341" t="s">
        <v>283</v>
      </c>
      <c r="C32" s="342">
        <v>318486471</v>
      </c>
      <c r="D32" s="342">
        <v>3717596</v>
      </c>
      <c r="E32" s="342">
        <v>18870977</v>
      </c>
      <c r="F32" s="342">
        <v>303333090</v>
      </c>
      <c r="G32" s="342">
        <f t="shared" si="0"/>
        <v>-15153381</v>
      </c>
    </row>
    <row r="33" spans="1:7" ht="12.75">
      <c r="A33" s="341">
        <v>141210</v>
      </c>
      <c r="B33" s="341" t="s">
        <v>280</v>
      </c>
      <c r="C33" s="342">
        <v>71113869</v>
      </c>
      <c r="D33" s="342">
        <v>10235796</v>
      </c>
      <c r="E33" s="342">
        <v>3717596</v>
      </c>
      <c r="F33" s="342">
        <v>77632069</v>
      </c>
      <c r="G33" s="342">
        <f t="shared" si="0"/>
        <v>6518200</v>
      </c>
    </row>
    <row r="34" spans="1:7" ht="12.75">
      <c r="A34" s="341">
        <v>14121001</v>
      </c>
      <c r="B34" s="341" t="s">
        <v>284</v>
      </c>
      <c r="C34" s="342">
        <v>71113869</v>
      </c>
      <c r="D34" s="342">
        <v>10235796</v>
      </c>
      <c r="E34" s="342">
        <v>3717596</v>
      </c>
      <c r="F34" s="342">
        <v>77632069</v>
      </c>
      <c r="G34" s="342">
        <f t="shared" si="0"/>
        <v>6518200</v>
      </c>
    </row>
    <row r="35" spans="1:7" ht="12.75">
      <c r="A35" s="341">
        <v>1441</v>
      </c>
      <c r="B35" s="341" t="s">
        <v>287</v>
      </c>
      <c r="C35" s="342">
        <v>1408856041</v>
      </c>
      <c r="D35" s="342">
        <v>109077301</v>
      </c>
      <c r="E35" s="342">
        <v>103910071</v>
      </c>
      <c r="F35" s="342">
        <v>1414023271</v>
      </c>
      <c r="G35" s="342">
        <f t="shared" si="0"/>
        <v>5167230</v>
      </c>
    </row>
    <row r="36" spans="1:7" ht="12.75">
      <c r="A36" s="341">
        <v>144105</v>
      </c>
      <c r="B36" s="341" t="s">
        <v>278</v>
      </c>
      <c r="C36" s="342">
        <v>1290120270</v>
      </c>
      <c r="D36" s="342">
        <v>87554270</v>
      </c>
      <c r="E36" s="342">
        <v>88185560</v>
      </c>
      <c r="F36" s="342">
        <v>1289488980</v>
      </c>
      <c r="G36" s="342">
        <f t="shared" si="0"/>
        <v>-631290</v>
      </c>
    </row>
    <row r="37" spans="1:7" ht="12.75">
      <c r="A37" s="341">
        <v>14410501</v>
      </c>
      <c r="B37" s="341" t="s">
        <v>288</v>
      </c>
      <c r="C37" s="342">
        <v>1290120270</v>
      </c>
      <c r="D37" s="342">
        <v>87554270</v>
      </c>
      <c r="E37" s="342">
        <v>88185560</v>
      </c>
      <c r="F37" s="342">
        <v>1289488980</v>
      </c>
      <c r="G37" s="342">
        <f t="shared" si="0"/>
        <v>-631290</v>
      </c>
    </row>
    <row r="38" spans="1:7" ht="12.75">
      <c r="A38" s="341">
        <v>144110</v>
      </c>
      <c r="B38" s="341" t="s">
        <v>280</v>
      </c>
      <c r="C38" s="342">
        <v>64662375</v>
      </c>
      <c r="D38" s="342">
        <v>16657627</v>
      </c>
      <c r="E38" s="342">
        <v>10048234</v>
      </c>
      <c r="F38" s="342">
        <v>71271768</v>
      </c>
      <c r="G38" s="342">
        <f t="shared" si="0"/>
        <v>6609393</v>
      </c>
    </row>
    <row r="39" spans="1:7" ht="12.75">
      <c r="A39" s="341">
        <v>14411001</v>
      </c>
      <c r="B39" s="341" t="s">
        <v>289</v>
      </c>
      <c r="C39" s="342">
        <v>64662375</v>
      </c>
      <c r="D39" s="342">
        <v>16657627</v>
      </c>
      <c r="E39" s="342">
        <v>10048234</v>
      </c>
      <c r="F39" s="342">
        <v>71271768</v>
      </c>
      <c r="G39" s="342">
        <f t="shared" si="0"/>
        <v>6609393</v>
      </c>
    </row>
    <row r="40" spans="1:7" ht="12.75">
      <c r="A40" s="341">
        <v>144115</v>
      </c>
      <c r="B40" s="341" t="s">
        <v>285</v>
      </c>
      <c r="C40" s="342">
        <v>31067825</v>
      </c>
      <c r="D40" s="342">
        <v>0</v>
      </c>
      <c r="E40" s="342">
        <v>5505387</v>
      </c>
      <c r="F40" s="342">
        <v>25562438</v>
      </c>
      <c r="G40" s="342">
        <f t="shared" si="0"/>
        <v>-5505387</v>
      </c>
    </row>
    <row r="41" spans="1:7" ht="12.75">
      <c r="A41" s="341">
        <v>14411501</v>
      </c>
      <c r="B41" s="341" t="s">
        <v>290</v>
      </c>
      <c r="C41" s="342">
        <v>31067825</v>
      </c>
      <c r="D41" s="342">
        <v>0</v>
      </c>
      <c r="E41" s="342">
        <v>5505387</v>
      </c>
      <c r="F41" s="342">
        <v>25562438</v>
      </c>
      <c r="G41" s="342">
        <f t="shared" si="0"/>
        <v>-5505387</v>
      </c>
    </row>
    <row r="42" spans="1:7" ht="12.75">
      <c r="A42" s="341">
        <v>144120</v>
      </c>
      <c r="B42" s="341" t="s">
        <v>291</v>
      </c>
      <c r="C42" s="342">
        <v>23005571</v>
      </c>
      <c r="D42" s="342">
        <v>4865404</v>
      </c>
      <c r="E42" s="342">
        <v>170890</v>
      </c>
      <c r="F42" s="342">
        <v>27700085</v>
      </c>
      <c r="G42" s="342">
        <f t="shared" si="0"/>
        <v>4694514</v>
      </c>
    </row>
    <row r="43" spans="1:7" ht="12.75">
      <c r="A43" s="341">
        <v>14412001</v>
      </c>
      <c r="B43" s="341" t="s">
        <v>292</v>
      </c>
      <c r="C43" s="342">
        <v>23005571</v>
      </c>
      <c r="D43" s="342">
        <v>4865404</v>
      </c>
      <c r="E43" s="342">
        <v>170890</v>
      </c>
      <c r="F43" s="342">
        <v>27700085</v>
      </c>
      <c r="G43" s="342">
        <f t="shared" si="0"/>
        <v>4694514</v>
      </c>
    </row>
    <row r="44" spans="1:7" ht="12.75">
      <c r="A44" s="341">
        <v>1442</v>
      </c>
      <c r="B44" s="341" t="s">
        <v>293</v>
      </c>
      <c r="C44" s="342">
        <v>2977860957.25</v>
      </c>
      <c r="D44" s="342">
        <v>646711157</v>
      </c>
      <c r="E44" s="342">
        <v>695811070.32</v>
      </c>
      <c r="F44" s="342">
        <v>2928761043.93</v>
      </c>
      <c r="G44" s="342">
        <f t="shared" si="0"/>
        <v>-49099913.32000017</v>
      </c>
    </row>
    <row r="45" spans="1:7" ht="12.75">
      <c r="A45" s="341">
        <v>144205</v>
      </c>
      <c r="B45" s="341" t="s">
        <v>278</v>
      </c>
      <c r="C45" s="342">
        <v>2387258420.25</v>
      </c>
      <c r="D45" s="342">
        <v>449173639</v>
      </c>
      <c r="E45" s="342">
        <v>417058565.32</v>
      </c>
      <c r="F45" s="342">
        <v>2419373493.93</v>
      </c>
      <c r="G45" s="342">
        <f t="shared" si="0"/>
        <v>32115073.67999983</v>
      </c>
    </row>
    <row r="46" spans="1:7" ht="12.75">
      <c r="A46" s="341">
        <v>14420501</v>
      </c>
      <c r="B46" s="341" t="s">
        <v>294</v>
      </c>
      <c r="C46" s="342">
        <v>2387258420.25</v>
      </c>
      <c r="D46" s="342">
        <v>449173639</v>
      </c>
      <c r="E46" s="342">
        <v>417058565.32</v>
      </c>
      <c r="F46" s="342">
        <v>2419373493.93</v>
      </c>
      <c r="G46" s="342">
        <f t="shared" si="0"/>
        <v>32115073.67999983</v>
      </c>
    </row>
    <row r="47" spans="1:7" ht="12.75">
      <c r="A47" s="341">
        <v>144210</v>
      </c>
      <c r="B47" s="341" t="s">
        <v>280</v>
      </c>
      <c r="C47" s="342">
        <v>162718034</v>
      </c>
      <c r="D47" s="342">
        <v>105441894</v>
      </c>
      <c r="E47" s="342">
        <v>116009338</v>
      </c>
      <c r="F47" s="342">
        <v>152150590</v>
      </c>
      <c r="G47" s="342">
        <f t="shared" si="0"/>
        <v>-10567444</v>
      </c>
    </row>
    <row r="48" spans="1:7" ht="12.75">
      <c r="A48" s="341">
        <v>14421001</v>
      </c>
      <c r="B48" s="341" t="s">
        <v>295</v>
      </c>
      <c r="C48" s="342">
        <v>162718034</v>
      </c>
      <c r="D48" s="342">
        <v>105441894</v>
      </c>
      <c r="E48" s="342">
        <v>116009338</v>
      </c>
      <c r="F48" s="342">
        <v>152150590</v>
      </c>
      <c r="G48" s="342">
        <f t="shared" si="0"/>
        <v>-10567444</v>
      </c>
    </row>
    <row r="49" spans="1:7" ht="12.75">
      <c r="A49" s="341">
        <v>144215</v>
      </c>
      <c r="B49" s="341" t="s">
        <v>285</v>
      </c>
      <c r="C49" s="342">
        <v>122874055</v>
      </c>
      <c r="D49" s="342">
        <v>29447091</v>
      </c>
      <c r="E49" s="342">
        <v>99666490</v>
      </c>
      <c r="F49" s="342">
        <v>52654656</v>
      </c>
      <c r="G49" s="342">
        <f t="shared" si="0"/>
        <v>-70219399</v>
      </c>
    </row>
    <row r="50" spans="1:7" ht="12.75">
      <c r="A50" s="341">
        <v>14421501</v>
      </c>
      <c r="B50" s="341" t="s">
        <v>296</v>
      </c>
      <c r="C50" s="342">
        <v>122874055</v>
      </c>
      <c r="D50" s="342">
        <v>29447091</v>
      </c>
      <c r="E50" s="342">
        <v>99666490</v>
      </c>
      <c r="F50" s="342">
        <v>52654656</v>
      </c>
      <c r="G50" s="342">
        <f t="shared" si="0"/>
        <v>-70219399</v>
      </c>
    </row>
    <row r="51" spans="1:7" ht="12.75">
      <c r="A51" s="341">
        <v>144220</v>
      </c>
      <c r="B51" s="341" t="s">
        <v>291</v>
      </c>
      <c r="C51" s="342">
        <v>157926186</v>
      </c>
      <c r="D51" s="342">
        <v>58284541</v>
      </c>
      <c r="E51" s="342">
        <v>46407696</v>
      </c>
      <c r="F51" s="342">
        <v>169803031</v>
      </c>
      <c r="G51" s="342">
        <f t="shared" si="0"/>
        <v>11876845</v>
      </c>
    </row>
    <row r="52" spans="1:7" ht="12.75">
      <c r="A52" s="341">
        <v>14422001</v>
      </c>
      <c r="B52" s="341" t="s">
        <v>297</v>
      </c>
      <c r="C52" s="342">
        <v>157926186</v>
      </c>
      <c r="D52" s="342">
        <v>58284541</v>
      </c>
      <c r="E52" s="342">
        <v>46407696</v>
      </c>
      <c r="F52" s="342">
        <v>169803031</v>
      </c>
      <c r="G52" s="342">
        <f t="shared" si="0"/>
        <v>11876845</v>
      </c>
    </row>
    <row r="53" spans="1:7" ht="12.75">
      <c r="A53" s="341">
        <v>144225</v>
      </c>
      <c r="B53" s="341" t="s">
        <v>286</v>
      </c>
      <c r="C53" s="342">
        <v>147084262</v>
      </c>
      <c r="D53" s="342">
        <v>4363992</v>
      </c>
      <c r="E53" s="342">
        <v>16668981</v>
      </c>
      <c r="F53" s="342">
        <v>134779273</v>
      </c>
      <c r="G53" s="342">
        <f t="shared" si="0"/>
        <v>-12304989</v>
      </c>
    </row>
    <row r="54" spans="1:7" ht="12.75">
      <c r="A54" s="341">
        <v>14422501</v>
      </c>
      <c r="B54" s="341" t="s">
        <v>298</v>
      </c>
      <c r="C54" s="342">
        <v>147084262</v>
      </c>
      <c r="D54" s="342">
        <v>4363992</v>
      </c>
      <c r="E54" s="342">
        <v>16668981</v>
      </c>
      <c r="F54" s="342">
        <v>134779273</v>
      </c>
      <c r="G54" s="342">
        <f t="shared" si="0"/>
        <v>-12304989</v>
      </c>
    </row>
    <row r="55" spans="1:7" ht="12.75">
      <c r="A55" s="341">
        <v>1443</v>
      </c>
      <c r="B55" s="341" t="s">
        <v>299</v>
      </c>
      <c r="C55" s="342">
        <v>49890126</v>
      </c>
      <c r="D55" s="342">
        <v>75343656</v>
      </c>
      <c r="E55" s="342">
        <v>79705947</v>
      </c>
      <c r="F55" s="342">
        <v>45527835</v>
      </c>
      <c r="G55" s="342">
        <f t="shared" si="0"/>
        <v>-4362291</v>
      </c>
    </row>
    <row r="56" spans="1:7" ht="12.75">
      <c r="A56" s="341">
        <v>144305</v>
      </c>
      <c r="B56" s="341" t="s">
        <v>278</v>
      </c>
      <c r="C56" s="342">
        <v>34049906</v>
      </c>
      <c r="D56" s="342">
        <v>70105323</v>
      </c>
      <c r="E56" s="342">
        <v>71904519</v>
      </c>
      <c r="F56" s="342">
        <v>32250710</v>
      </c>
      <c r="G56" s="342">
        <f t="shared" si="0"/>
        <v>-1799196</v>
      </c>
    </row>
    <row r="57" spans="1:7" ht="12.75">
      <c r="A57" s="341">
        <v>1655180101</v>
      </c>
      <c r="B57" s="341" t="s">
        <v>300</v>
      </c>
      <c r="C57" s="342">
        <v>33902152</v>
      </c>
      <c r="D57" s="342">
        <v>68871500</v>
      </c>
      <c r="E57" s="342">
        <v>70837250</v>
      </c>
      <c r="F57" s="342">
        <v>31936402</v>
      </c>
      <c r="G57" s="342">
        <f t="shared" si="0"/>
        <v>-1965750</v>
      </c>
    </row>
    <row r="58" spans="1:7" ht="12.75">
      <c r="A58" s="341">
        <v>1655180201</v>
      </c>
      <c r="B58" s="341" t="s">
        <v>301</v>
      </c>
      <c r="C58" s="342">
        <v>147754</v>
      </c>
      <c r="D58" s="342">
        <v>1233823</v>
      </c>
      <c r="E58" s="342">
        <v>1067269</v>
      </c>
      <c r="F58" s="342">
        <v>314308</v>
      </c>
      <c r="G58" s="342">
        <f t="shared" si="0"/>
        <v>166554</v>
      </c>
    </row>
    <row r="59" spans="1:7" ht="12.75">
      <c r="A59" s="341">
        <v>144310</v>
      </c>
      <c r="B59" s="341" t="s">
        <v>280</v>
      </c>
      <c r="C59" s="342">
        <v>5443685</v>
      </c>
      <c r="D59" s="342">
        <v>2779660</v>
      </c>
      <c r="E59" s="342">
        <v>3469696</v>
      </c>
      <c r="F59" s="342">
        <v>4753649</v>
      </c>
      <c r="G59" s="342">
        <f t="shared" si="0"/>
        <v>-690036</v>
      </c>
    </row>
    <row r="60" spans="1:7" ht="12.75">
      <c r="A60" s="341">
        <v>1655220101</v>
      </c>
      <c r="B60" s="341" t="s">
        <v>302</v>
      </c>
      <c r="C60" s="342">
        <v>5343543</v>
      </c>
      <c r="D60" s="342">
        <v>2711749</v>
      </c>
      <c r="E60" s="342">
        <v>3375707</v>
      </c>
      <c r="F60" s="342">
        <v>4679585</v>
      </c>
      <c r="G60" s="342">
        <f t="shared" si="0"/>
        <v>-663958</v>
      </c>
    </row>
    <row r="61" spans="1:7" ht="12.75">
      <c r="A61" s="341">
        <v>1655220201</v>
      </c>
      <c r="B61" s="341" t="s">
        <v>303</v>
      </c>
      <c r="C61" s="342">
        <v>100142</v>
      </c>
      <c r="D61" s="342">
        <v>67911</v>
      </c>
      <c r="E61" s="342">
        <v>93989</v>
      </c>
      <c r="F61" s="342">
        <v>74064</v>
      </c>
      <c r="G61" s="342">
        <f t="shared" si="0"/>
        <v>-26078</v>
      </c>
    </row>
    <row r="62" spans="1:7" ht="12.75">
      <c r="A62" s="341">
        <v>144315</v>
      </c>
      <c r="B62" s="341" t="s">
        <v>285</v>
      </c>
      <c r="C62" s="342">
        <v>2978050</v>
      </c>
      <c r="D62" s="342">
        <v>662134</v>
      </c>
      <c r="E62" s="342">
        <v>2751887</v>
      </c>
      <c r="F62" s="342">
        <v>888297</v>
      </c>
      <c r="G62" s="342">
        <f t="shared" si="0"/>
        <v>-2089753</v>
      </c>
    </row>
    <row r="63" spans="1:7" ht="12.75">
      <c r="A63" s="341">
        <v>1655240101</v>
      </c>
      <c r="B63" s="341" t="s">
        <v>304</v>
      </c>
      <c r="C63" s="342">
        <v>2923200</v>
      </c>
      <c r="D63" s="342">
        <v>656780</v>
      </c>
      <c r="E63" s="342">
        <v>2701357</v>
      </c>
      <c r="F63" s="342">
        <v>878623</v>
      </c>
      <c r="G63" s="342">
        <f t="shared" si="0"/>
        <v>-2044577</v>
      </c>
    </row>
    <row r="64" spans="1:7" ht="12.75">
      <c r="A64" s="341">
        <v>1655240201</v>
      </c>
      <c r="B64" s="341" t="s">
        <v>305</v>
      </c>
      <c r="C64" s="342">
        <v>54850</v>
      </c>
      <c r="D64" s="342">
        <v>5354</v>
      </c>
      <c r="E64" s="342">
        <v>50530</v>
      </c>
      <c r="F64" s="342">
        <v>9674</v>
      </c>
      <c r="G64" s="342">
        <f t="shared" si="0"/>
        <v>-45176</v>
      </c>
    </row>
    <row r="65" spans="1:7" ht="12.75">
      <c r="A65" s="341">
        <v>144320</v>
      </c>
      <c r="B65" s="341" t="s">
        <v>291</v>
      </c>
      <c r="C65" s="342">
        <v>5773549</v>
      </c>
      <c r="D65" s="342">
        <v>1638994</v>
      </c>
      <c r="E65" s="342">
        <v>1129654</v>
      </c>
      <c r="F65" s="342">
        <v>6282889</v>
      </c>
      <c r="G65" s="342">
        <f t="shared" si="0"/>
        <v>509340</v>
      </c>
    </row>
    <row r="66" spans="1:7" ht="12.75">
      <c r="A66" s="341">
        <v>1655260101</v>
      </c>
      <c r="B66" s="341" t="s">
        <v>306</v>
      </c>
      <c r="C66" s="342">
        <v>5427842</v>
      </c>
      <c r="D66" s="342">
        <v>1622912</v>
      </c>
      <c r="E66" s="342">
        <v>1086866</v>
      </c>
      <c r="F66" s="342">
        <v>5963888</v>
      </c>
      <c r="G66" s="342">
        <f t="shared" si="0"/>
        <v>536046</v>
      </c>
    </row>
    <row r="67" spans="1:7" ht="12.75">
      <c r="A67" s="341">
        <v>1655260201</v>
      </c>
      <c r="B67" s="341" t="s">
        <v>307</v>
      </c>
      <c r="C67" s="342">
        <v>345707</v>
      </c>
      <c r="D67" s="342">
        <v>16082</v>
      </c>
      <c r="E67" s="342">
        <v>42788</v>
      </c>
      <c r="F67" s="342">
        <v>319001</v>
      </c>
      <c r="G67" s="342">
        <f aca="true" t="shared" si="1" ref="G67:G130">+F67-C67</f>
        <v>-26706</v>
      </c>
    </row>
    <row r="68" spans="1:7" ht="12.75">
      <c r="A68" s="341">
        <v>144325</v>
      </c>
      <c r="B68" s="341" t="s">
        <v>286</v>
      </c>
      <c r="C68" s="342">
        <v>1644936</v>
      </c>
      <c r="D68" s="342">
        <v>157545</v>
      </c>
      <c r="E68" s="342">
        <v>450191</v>
      </c>
      <c r="F68" s="342">
        <v>1352290</v>
      </c>
      <c r="G68" s="342">
        <f t="shared" si="1"/>
        <v>-292646</v>
      </c>
    </row>
    <row r="69" spans="1:7" ht="12.75">
      <c r="A69" s="341">
        <v>1655280101</v>
      </c>
      <c r="B69" s="341" t="s">
        <v>308</v>
      </c>
      <c r="C69" s="342">
        <v>1611895</v>
      </c>
      <c r="D69" s="342">
        <v>155908</v>
      </c>
      <c r="E69" s="342">
        <v>430740</v>
      </c>
      <c r="F69" s="342">
        <v>1337063</v>
      </c>
      <c r="G69" s="342">
        <f t="shared" si="1"/>
        <v>-274832</v>
      </c>
    </row>
    <row r="70" spans="1:7" ht="12.75">
      <c r="A70" s="341">
        <v>1655280201</v>
      </c>
      <c r="B70" s="341" t="s">
        <v>309</v>
      </c>
      <c r="C70" s="342">
        <v>33041</v>
      </c>
      <c r="D70" s="342">
        <v>1637</v>
      </c>
      <c r="E70" s="342">
        <v>19451</v>
      </c>
      <c r="F70" s="342">
        <v>15227</v>
      </c>
      <c r="G70" s="342">
        <f t="shared" si="1"/>
        <v>-17814</v>
      </c>
    </row>
    <row r="71" spans="1:7" ht="12.75">
      <c r="A71" s="341">
        <v>1445</v>
      </c>
      <c r="B71" s="341" t="s">
        <v>315</v>
      </c>
      <c r="C71" s="342">
        <v>-105762060.84</v>
      </c>
      <c r="D71" s="342">
        <v>9072905.05</v>
      </c>
      <c r="E71" s="342">
        <v>6175303.64</v>
      </c>
      <c r="F71" s="342">
        <v>-102864459.43</v>
      </c>
      <c r="G71" s="342">
        <f t="shared" si="1"/>
        <v>2897601.4099999964</v>
      </c>
    </row>
    <row r="72" spans="1:7" ht="12.75">
      <c r="A72" s="341">
        <v>144520</v>
      </c>
      <c r="B72" s="341" t="s">
        <v>316</v>
      </c>
      <c r="C72" s="342">
        <v>-691428.55</v>
      </c>
      <c r="D72" s="342">
        <v>349682.78</v>
      </c>
      <c r="E72" s="342">
        <v>469736.06</v>
      </c>
      <c r="F72" s="342">
        <v>-811481.83</v>
      </c>
      <c r="G72" s="342">
        <f t="shared" si="1"/>
        <v>-120053.27999999991</v>
      </c>
    </row>
    <row r="73" spans="1:7" ht="12.75">
      <c r="A73" s="341">
        <v>14911201</v>
      </c>
      <c r="B73" s="341" t="s">
        <v>317</v>
      </c>
      <c r="C73" s="342">
        <v>-691428.55</v>
      </c>
      <c r="D73" s="342">
        <v>349682.78</v>
      </c>
      <c r="E73" s="342">
        <v>469736.06</v>
      </c>
      <c r="F73" s="342">
        <v>-811481.83</v>
      </c>
      <c r="G73" s="342">
        <f t="shared" si="1"/>
        <v>-120053.27999999991</v>
      </c>
    </row>
    <row r="74" spans="1:7" ht="12.75">
      <c r="A74" s="341">
        <v>144530</v>
      </c>
      <c r="B74" s="341" t="s">
        <v>318</v>
      </c>
      <c r="C74" s="342">
        <v>-5381108.94</v>
      </c>
      <c r="D74" s="342">
        <v>4053602.23</v>
      </c>
      <c r="E74" s="342">
        <v>1230587.18</v>
      </c>
      <c r="F74" s="342">
        <v>-2558093.89</v>
      </c>
      <c r="G74" s="342">
        <f t="shared" si="1"/>
        <v>2823015.0500000003</v>
      </c>
    </row>
    <row r="75" spans="1:7" ht="12.75">
      <c r="A75" s="341">
        <v>14911701</v>
      </c>
      <c r="B75" s="341" t="s">
        <v>319</v>
      </c>
      <c r="C75" s="342">
        <v>-5381108.94</v>
      </c>
      <c r="D75" s="342">
        <v>4053602.23</v>
      </c>
      <c r="E75" s="342">
        <v>1230587.18</v>
      </c>
      <c r="F75" s="342">
        <v>-2558093.89</v>
      </c>
      <c r="G75" s="342">
        <f t="shared" si="1"/>
        <v>2823015.0500000003</v>
      </c>
    </row>
    <row r="76" spans="1:7" ht="12.75">
      <c r="A76" s="341">
        <v>144540</v>
      </c>
      <c r="B76" s="341" t="s">
        <v>320</v>
      </c>
      <c r="C76" s="342">
        <v>-14952539.34</v>
      </c>
      <c r="D76" s="342">
        <v>1740653.03</v>
      </c>
      <c r="E76" s="342">
        <v>4474980.4</v>
      </c>
      <c r="F76" s="342">
        <v>-17686866.71</v>
      </c>
      <c r="G76" s="342">
        <f t="shared" si="1"/>
        <v>-2734327.370000001</v>
      </c>
    </row>
    <row r="77" spans="1:7" ht="12.75">
      <c r="A77" s="341">
        <v>14912201</v>
      </c>
      <c r="B77" s="341" t="s">
        <v>321</v>
      </c>
      <c r="C77" s="342">
        <v>-14952539.34</v>
      </c>
      <c r="D77" s="342">
        <v>1740653.03</v>
      </c>
      <c r="E77" s="342">
        <v>4474980.4</v>
      </c>
      <c r="F77" s="342">
        <v>-17686866.71</v>
      </c>
      <c r="G77" s="342">
        <f t="shared" si="1"/>
        <v>-2734327.370000001</v>
      </c>
    </row>
    <row r="78" spans="1:7" ht="12.75">
      <c r="A78" s="341">
        <v>144550</v>
      </c>
      <c r="B78" s="341" t="s">
        <v>322</v>
      </c>
      <c r="C78" s="342">
        <v>-84736984.01</v>
      </c>
      <c r="D78" s="342">
        <v>2928967.01</v>
      </c>
      <c r="E78" s="342">
        <v>0</v>
      </c>
      <c r="F78" s="342">
        <v>-81808017</v>
      </c>
      <c r="G78" s="342">
        <f t="shared" si="1"/>
        <v>2928967.0100000054</v>
      </c>
    </row>
    <row r="79" spans="1:7" ht="12.75">
      <c r="A79" s="341">
        <v>14912701</v>
      </c>
      <c r="B79" s="341" t="s">
        <v>323</v>
      </c>
      <c r="C79" s="342">
        <v>-84736984.01</v>
      </c>
      <c r="D79" s="342">
        <v>2928967.01</v>
      </c>
      <c r="E79" s="342">
        <v>0</v>
      </c>
      <c r="F79" s="342">
        <v>-81808017</v>
      </c>
      <c r="G79" s="342">
        <f t="shared" si="1"/>
        <v>2928967.0100000054</v>
      </c>
    </row>
    <row r="80" spans="1:7" ht="12.75">
      <c r="A80" s="341">
        <v>1446</v>
      </c>
      <c r="B80" s="341" t="s">
        <v>324</v>
      </c>
      <c r="C80" s="342">
        <v>-10396535</v>
      </c>
      <c r="D80" s="342">
        <v>4331732</v>
      </c>
      <c r="E80" s="342">
        <v>2458673</v>
      </c>
      <c r="F80" s="342">
        <v>-8523476</v>
      </c>
      <c r="G80" s="342">
        <f t="shared" si="1"/>
        <v>1873059</v>
      </c>
    </row>
    <row r="81" spans="1:7" ht="12.75">
      <c r="A81" s="341">
        <v>144615</v>
      </c>
      <c r="B81" s="341" t="s">
        <v>285</v>
      </c>
      <c r="C81" s="342">
        <v>-2978050</v>
      </c>
      <c r="D81" s="342">
        <v>2751887</v>
      </c>
      <c r="E81" s="342">
        <v>662134</v>
      </c>
      <c r="F81" s="342">
        <v>-888297</v>
      </c>
      <c r="G81" s="342">
        <f t="shared" si="1"/>
        <v>2089753</v>
      </c>
    </row>
    <row r="82" spans="1:7" ht="12.75">
      <c r="A82" s="341">
        <v>16965401</v>
      </c>
      <c r="B82" s="341" t="s">
        <v>325</v>
      </c>
      <c r="C82" s="342">
        <v>-2978050</v>
      </c>
      <c r="D82" s="342">
        <v>2751887</v>
      </c>
      <c r="E82" s="342">
        <v>662134</v>
      </c>
      <c r="F82" s="342">
        <v>-888297</v>
      </c>
      <c r="G82" s="342">
        <f t="shared" si="1"/>
        <v>2089753</v>
      </c>
    </row>
    <row r="83" spans="1:7" ht="12.75">
      <c r="A83" s="341">
        <v>144620</v>
      </c>
      <c r="B83" s="341" t="s">
        <v>291</v>
      </c>
      <c r="C83" s="342">
        <v>-5773549</v>
      </c>
      <c r="D83" s="342">
        <v>1129654</v>
      </c>
      <c r="E83" s="342">
        <v>1638994</v>
      </c>
      <c r="F83" s="342">
        <v>-6282889</v>
      </c>
      <c r="G83" s="342">
        <f t="shared" si="1"/>
        <v>-509340</v>
      </c>
    </row>
    <row r="84" spans="1:7" ht="12.75">
      <c r="A84" s="341">
        <v>16965601</v>
      </c>
      <c r="B84" s="341" t="s">
        <v>326</v>
      </c>
      <c r="C84" s="342">
        <v>-5773549</v>
      </c>
      <c r="D84" s="342">
        <v>1129654</v>
      </c>
      <c r="E84" s="342">
        <v>1638994</v>
      </c>
      <c r="F84" s="342">
        <v>-6282889</v>
      </c>
      <c r="G84" s="342">
        <f t="shared" si="1"/>
        <v>-509340</v>
      </c>
    </row>
    <row r="85" spans="1:7" ht="12.75">
      <c r="A85" s="341">
        <v>144625</v>
      </c>
      <c r="B85" s="341" t="s">
        <v>286</v>
      </c>
      <c r="C85" s="342">
        <v>-1644936</v>
      </c>
      <c r="D85" s="342">
        <v>450191</v>
      </c>
      <c r="E85" s="342">
        <v>157545</v>
      </c>
      <c r="F85" s="342">
        <v>-1352290</v>
      </c>
      <c r="G85" s="342">
        <f t="shared" si="1"/>
        <v>292646</v>
      </c>
    </row>
    <row r="86" spans="1:7" ht="12.75">
      <c r="A86" s="341">
        <v>16965701</v>
      </c>
      <c r="B86" s="341" t="s">
        <v>327</v>
      </c>
      <c r="C86" s="342">
        <v>-1644936</v>
      </c>
      <c r="D86" s="342">
        <v>450191</v>
      </c>
      <c r="E86" s="342">
        <v>157545</v>
      </c>
      <c r="F86" s="342">
        <v>-1352290</v>
      </c>
      <c r="G86" s="342">
        <f t="shared" si="1"/>
        <v>292646</v>
      </c>
    </row>
    <row r="87" spans="1:7" ht="12.75">
      <c r="A87" s="341">
        <v>1468</v>
      </c>
      <c r="B87" s="341" t="s">
        <v>332</v>
      </c>
      <c r="C87" s="342">
        <v>-49063757.48</v>
      </c>
      <c r="D87" s="342">
        <v>548561</v>
      </c>
      <c r="E87" s="342">
        <v>0</v>
      </c>
      <c r="F87" s="342">
        <v>-48515196.48</v>
      </c>
      <c r="G87" s="342">
        <f t="shared" si="1"/>
        <v>548561</v>
      </c>
    </row>
    <row r="88" spans="1:7" ht="12.75">
      <c r="A88" s="341">
        <v>14980501</v>
      </c>
      <c r="B88" s="341" t="s">
        <v>333</v>
      </c>
      <c r="C88" s="342">
        <v>-49063757.48</v>
      </c>
      <c r="D88" s="342">
        <v>548561</v>
      </c>
      <c r="E88" s="342">
        <v>0</v>
      </c>
      <c r="F88" s="342">
        <v>-48515196.48</v>
      </c>
      <c r="G88" s="342">
        <f t="shared" si="1"/>
        <v>548561</v>
      </c>
    </row>
    <row r="89" spans="1:7" ht="12.75">
      <c r="A89" s="341">
        <v>1600</v>
      </c>
      <c r="B89" s="341" t="s">
        <v>334</v>
      </c>
      <c r="C89" s="342">
        <v>70265249.74</v>
      </c>
      <c r="D89" s="342">
        <v>80253539</v>
      </c>
      <c r="E89" s="342">
        <v>141021275.89</v>
      </c>
      <c r="F89" s="342">
        <v>9497512.85</v>
      </c>
      <c r="G89" s="342">
        <f t="shared" si="1"/>
        <v>-60767736.88999999</v>
      </c>
    </row>
    <row r="90" spans="1:7" ht="12.75">
      <c r="A90" s="341">
        <v>1630</v>
      </c>
      <c r="B90" s="341" t="s">
        <v>335</v>
      </c>
      <c r="C90" s="342">
        <v>4590176.74</v>
      </c>
      <c r="D90" s="342">
        <v>12064197</v>
      </c>
      <c r="E90" s="342">
        <v>7156862.89</v>
      </c>
      <c r="F90" s="342">
        <v>9497510.85</v>
      </c>
      <c r="G90" s="342">
        <f t="shared" si="1"/>
        <v>4907334.109999999</v>
      </c>
    </row>
    <row r="91" spans="1:7" ht="12.75">
      <c r="A91" s="341">
        <v>163015</v>
      </c>
      <c r="B91" s="341" t="s">
        <v>336</v>
      </c>
      <c r="C91" s="342">
        <v>0</v>
      </c>
      <c r="D91" s="342">
        <v>7868074</v>
      </c>
      <c r="E91" s="342">
        <v>500000</v>
      </c>
      <c r="F91" s="342">
        <v>7368074</v>
      </c>
      <c r="G91" s="342">
        <f t="shared" si="1"/>
        <v>7368074</v>
      </c>
    </row>
    <row r="92" spans="1:7" ht="12.75">
      <c r="A92" s="341">
        <v>16251005</v>
      </c>
      <c r="B92" s="341" t="s">
        <v>337</v>
      </c>
      <c r="C92" s="342">
        <v>0</v>
      </c>
      <c r="D92" s="342">
        <v>7868074</v>
      </c>
      <c r="E92" s="342">
        <v>500000</v>
      </c>
      <c r="F92" s="342">
        <v>7368074</v>
      </c>
      <c r="G92" s="342">
        <f t="shared" si="1"/>
        <v>7368074</v>
      </c>
    </row>
    <row r="93" spans="1:7" ht="12.75">
      <c r="A93" s="341">
        <v>163095</v>
      </c>
      <c r="B93" s="341" t="s">
        <v>338</v>
      </c>
      <c r="C93" s="342">
        <v>4590176.74</v>
      </c>
      <c r="D93" s="342">
        <v>4196123</v>
      </c>
      <c r="E93" s="342">
        <v>6656862.89</v>
      </c>
      <c r="F93" s="342">
        <v>2129436.85</v>
      </c>
      <c r="G93" s="342">
        <f t="shared" si="1"/>
        <v>-2460739.89</v>
      </c>
    </row>
    <row r="94" spans="1:7" ht="12.75">
      <c r="A94" s="341">
        <v>16059501</v>
      </c>
      <c r="B94" s="341" t="s">
        <v>339</v>
      </c>
      <c r="C94" s="342">
        <v>4590176.74</v>
      </c>
      <c r="D94" s="342">
        <v>4196123</v>
      </c>
      <c r="E94" s="342">
        <v>6656862.89</v>
      </c>
      <c r="F94" s="342">
        <v>2129436.85</v>
      </c>
      <c r="G94" s="342">
        <f t="shared" si="1"/>
        <v>-2460739.89</v>
      </c>
    </row>
    <row r="95" spans="1:7" ht="12.75">
      <c r="A95" s="341">
        <v>1650</v>
      </c>
      <c r="B95" s="341" t="s">
        <v>340</v>
      </c>
      <c r="C95" s="342">
        <v>65675073</v>
      </c>
      <c r="D95" s="342">
        <v>68189342</v>
      </c>
      <c r="E95" s="342">
        <v>133864413</v>
      </c>
      <c r="F95" s="342">
        <v>2</v>
      </c>
      <c r="G95" s="342">
        <f t="shared" si="1"/>
        <v>-65675071</v>
      </c>
    </row>
    <row r="96" spans="1:7" ht="12.75">
      <c r="A96" s="341">
        <v>165005</v>
      </c>
      <c r="B96" s="341" t="s">
        <v>341</v>
      </c>
      <c r="C96" s="342">
        <v>65675073</v>
      </c>
      <c r="D96" s="342">
        <v>68189342</v>
      </c>
      <c r="E96" s="342">
        <v>133864413</v>
      </c>
      <c r="F96" s="342">
        <v>2</v>
      </c>
      <c r="G96" s="342">
        <f t="shared" si="1"/>
        <v>-65675071</v>
      </c>
    </row>
    <row r="97" spans="1:7" ht="12.75">
      <c r="A97" s="341">
        <v>16500501</v>
      </c>
      <c r="B97" s="341" t="s">
        <v>342</v>
      </c>
      <c r="C97" s="342">
        <v>65675073</v>
      </c>
      <c r="D97" s="342">
        <v>68189342</v>
      </c>
      <c r="E97" s="342">
        <v>133864413</v>
      </c>
      <c r="F97" s="342">
        <v>2</v>
      </c>
      <c r="G97" s="342">
        <f t="shared" si="1"/>
        <v>-65675071</v>
      </c>
    </row>
    <row r="98" spans="1:7" ht="12.75">
      <c r="A98" s="341">
        <v>1700</v>
      </c>
      <c r="B98" s="341" t="s">
        <v>349</v>
      </c>
      <c r="C98" s="342">
        <v>566470601.03</v>
      </c>
      <c r="D98" s="342">
        <v>0</v>
      </c>
      <c r="E98" s="342">
        <v>41841045.84</v>
      </c>
      <c r="F98" s="342">
        <v>524629555.19</v>
      </c>
      <c r="G98" s="342">
        <f t="shared" si="1"/>
        <v>-41841045.839999974</v>
      </c>
    </row>
    <row r="99" spans="1:7" ht="12.75">
      <c r="A99" s="341">
        <v>1705</v>
      </c>
      <c r="B99" s="341" t="s">
        <v>153</v>
      </c>
      <c r="C99" s="342">
        <v>566470601.03</v>
      </c>
      <c r="D99" s="342">
        <v>0</v>
      </c>
      <c r="E99" s="342">
        <v>41841045.84</v>
      </c>
      <c r="F99" s="342">
        <v>524629555.19</v>
      </c>
      <c r="G99" s="342">
        <f t="shared" si="1"/>
        <v>-41841045.839999974</v>
      </c>
    </row>
    <row r="100" spans="1:7" ht="12.75">
      <c r="A100" s="341">
        <v>170502</v>
      </c>
      <c r="B100" s="341" t="s">
        <v>350</v>
      </c>
      <c r="C100" s="342">
        <v>527849000</v>
      </c>
      <c r="D100" s="342">
        <v>0</v>
      </c>
      <c r="E100" s="342">
        <v>0</v>
      </c>
      <c r="F100" s="342">
        <v>527849000</v>
      </c>
      <c r="G100" s="342">
        <f t="shared" si="1"/>
        <v>0</v>
      </c>
    </row>
    <row r="101" spans="1:7" ht="12.75">
      <c r="A101" s="341">
        <v>17050501</v>
      </c>
      <c r="B101" s="341" t="s">
        <v>351</v>
      </c>
      <c r="C101" s="342">
        <v>527849000</v>
      </c>
      <c r="D101" s="342">
        <v>0</v>
      </c>
      <c r="E101" s="342">
        <v>0</v>
      </c>
      <c r="F101" s="342">
        <v>527849000</v>
      </c>
      <c r="G101" s="342">
        <f t="shared" si="1"/>
        <v>0</v>
      </c>
    </row>
    <row r="102" spans="1:7" ht="12.75">
      <c r="A102" s="341">
        <v>170504</v>
      </c>
      <c r="B102" s="341" t="s">
        <v>352</v>
      </c>
      <c r="C102" s="342">
        <v>126901000</v>
      </c>
      <c r="D102" s="342">
        <v>0</v>
      </c>
      <c r="E102" s="342">
        <v>0</v>
      </c>
      <c r="F102" s="342">
        <v>126901000</v>
      </c>
      <c r="G102" s="342">
        <f t="shared" si="1"/>
        <v>0</v>
      </c>
    </row>
    <row r="103" spans="1:7" ht="12.75">
      <c r="A103" s="341">
        <v>17150501</v>
      </c>
      <c r="B103" s="341" t="s">
        <v>353</v>
      </c>
      <c r="C103" s="342">
        <v>126901000</v>
      </c>
      <c r="D103" s="342">
        <v>0</v>
      </c>
      <c r="E103" s="342">
        <v>0</v>
      </c>
      <c r="F103" s="342">
        <v>126901000</v>
      </c>
      <c r="G103" s="342">
        <f t="shared" si="1"/>
        <v>0</v>
      </c>
    </row>
    <row r="104" spans="1:7" ht="12.75">
      <c r="A104" s="341">
        <v>170505</v>
      </c>
      <c r="B104" s="341" t="s">
        <v>354</v>
      </c>
      <c r="C104" s="342">
        <v>32986084</v>
      </c>
      <c r="D104" s="342">
        <v>0</v>
      </c>
      <c r="E104" s="342">
        <v>0</v>
      </c>
      <c r="F104" s="342">
        <v>32986084</v>
      </c>
      <c r="G104" s="342">
        <f t="shared" si="1"/>
        <v>0</v>
      </c>
    </row>
    <row r="105" spans="1:7" ht="12.75">
      <c r="A105" s="341">
        <v>17201001</v>
      </c>
      <c r="B105" s="341" t="s">
        <v>355</v>
      </c>
      <c r="C105" s="342">
        <v>19336940</v>
      </c>
      <c r="D105" s="342">
        <v>0</v>
      </c>
      <c r="E105" s="342">
        <v>0</v>
      </c>
      <c r="F105" s="342">
        <v>19336940</v>
      </c>
      <c r="G105" s="342">
        <f t="shared" si="1"/>
        <v>0</v>
      </c>
    </row>
    <row r="106" spans="1:7" ht="12.75">
      <c r="A106" s="341">
        <v>17201501</v>
      </c>
      <c r="B106" s="341" t="s">
        <v>356</v>
      </c>
      <c r="C106" s="342">
        <v>13649144</v>
      </c>
      <c r="D106" s="342">
        <v>0</v>
      </c>
      <c r="E106" s="342">
        <v>0</v>
      </c>
      <c r="F106" s="342">
        <v>13649144</v>
      </c>
      <c r="G106" s="342">
        <f t="shared" si="1"/>
        <v>0</v>
      </c>
    </row>
    <row r="107" spans="1:7" ht="12.75">
      <c r="A107" s="341">
        <v>170520</v>
      </c>
      <c r="B107" s="341" t="s">
        <v>357</v>
      </c>
      <c r="C107" s="342">
        <v>70837424</v>
      </c>
      <c r="D107" s="342">
        <v>0</v>
      </c>
      <c r="E107" s="342">
        <v>0</v>
      </c>
      <c r="F107" s="342">
        <v>70837424</v>
      </c>
      <c r="G107" s="342">
        <f t="shared" si="1"/>
        <v>0</v>
      </c>
    </row>
    <row r="108" spans="1:7" ht="12.75">
      <c r="A108" s="341">
        <v>17250501</v>
      </c>
      <c r="B108" s="341" t="s">
        <v>358</v>
      </c>
      <c r="C108" s="342">
        <v>70837424</v>
      </c>
      <c r="D108" s="342">
        <v>0</v>
      </c>
      <c r="E108" s="342">
        <v>0</v>
      </c>
      <c r="F108" s="342">
        <v>70837424</v>
      </c>
      <c r="G108" s="342">
        <f t="shared" si="1"/>
        <v>0</v>
      </c>
    </row>
    <row r="109" spans="1:7" ht="12.75">
      <c r="A109" s="341">
        <v>170595</v>
      </c>
      <c r="B109" s="341" t="s">
        <v>361</v>
      </c>
      <c r="C109" s="342">
        <v>-192102906.97</v>
      </c>
      <c r="D109" s="342">
        <v>0</v>
      </c>
      <c r="E109" s="342">
        <v>41841045.84</v>
      </c>
      <c r="F109" s="342">
        <v>-233943952.81</v>
      </c>
      <c r="G109" s="342">
        <f t="shared" si="1"/>
        <v>-41841045.84</v>
      </c>
    </row>
    <row r="110" spans="1:7" ht="12.75">
      <c r="A110" s="341">
        <v>17950501</v>
      </c>
      <c r="B110" s="341" t="s">
        <v>39</v>
      </c>
      <c r="C110" s="342">
        <v>-104511461.45</v>
      </c>
      <c r="D110" s="342">
        <v>0</v>
      </c>
      <c r="E110" s="342">
        <v>528796.47</v>
      </c>
      <c r="F110" s="342">
        <v>-105040257.92</v>
      </c>
      <c r="G110" s="342">
        <f t="shared" si="1"/>
        <v>-528796.4699999988</v>
      </c>
    </row>
    <row r="111" spans="1:7" ht="12.75">
      <c r="A111" s="341">
        <v>17951001</v>
      </c>
      <c r="B111" s="341" t="s">
        <v>362</v>
      </c>
      <c r="C111" s="342">
        <v>-23121949.55</v>
      </c>
      <c r="D111" s="342">
        <v>0</v>
      </c>
      <c r="E111" s="342">
        <v>269338.37</v>
      </c>
      <c r="F111" s="342">
        <v>-23391287.92</v>
      </c>
      <c r="G111" s="342">
        <f t="shared" si="1"/>
        <v>-269338.37000000104</v>
      </c>
    </row>
    <row r="112" spans="1:7" ht="12.75">
      <c r="A112" s="341">
        <v>17952001</v>
      </c>
      <c r="B112" s="341" t="s">
        <v>363</v>
      </c>
      <c r="C112" s="342">
        <v>-64469495.97</v>
      </c>
      <c r="D112" s="342">
        <v>0</v>
      </c>
      <c r="E112" s="342">
        <v>940182</v>
      </c>
      <c r="F112" s="342">
        <v>-65409677.97</v>
      </c>
      <c r="G112" s="342">
        <f t="shared" si="1"/>
        <v>-940182</v>
      </c>
    </row>
    <row r="113" spans="1:7" ht="12.75">
      <c r="A113" s="341">
        <v>19993502</v>
      </c>
      <c r="B113" s="341" t="s">
        <v>364</v>
      </c>
      <c r="C113" s="342">
        <v>0</v>
      </c>
      <c r="D113" s="342">
        <v>0</v>
      </c>
      <c r="E113" s="342">
        <v>40102729</v>
      </c>
      <c r="F113" s="342">
        <v>-40102729</v>
      </c>
      <c r="G113" s="342">
        <f t="shared" si="1"/>
        <v>-40102729</v>
      </c>
    </row>
    <row r="114" spans="1:7" ht="12.75">
      <c r="A114" s="341">
        <v>1800</v>
      </c>
      <c r="B114" s="341" t="s">
        <v>605</v>
      </c>
      <c r="C114" s="342">
        <v>136261122</v>
      </c>
      <c r="D114" s="342">
        <v>0</v>
      </c>
      <c r="E114" s="342">
        <v>0</v>
      </c>
      <c r="F114" s="342">
        <v>136261122</v>
      </c>
      <c r="G114" s="342">
        <f t="shared" si="1"/>
        <v>0</v>
      </c>
    </row>
    <row r="115" spans="1:7" ht="12.75">
      <c r="A115" s="341">
        <v>1825</v>
      </c>
      <c r="B115" s="341" t="s">
        <v>44</v>
      </c>
      <c r="C115" s="342">
        <v>136261122</v>
      </c>
      <c r="D115" s="342">
        <v>0</v>
      </c>
      <c r="E115" s="342">
        <v>0</v>
      </c>
      <c r="F115" s="342">
        <v>136261122</v>
      </c>
      <c r="G115" s="342">
        <f t="shared" si="1"/>
        <v>0</v>
      </c>
    </row>
    <row r="116" spans="1:7" ht="12.75">
      <c r="A116" s="341">
        <v>19500501</v>
      </c>
      <c r="B116" s="341" t="s">
        <v>606</v>
      </c>
      <c r="C116" s="342">
        <v>136261122</v>
      </c>
      <c r="D116" s="342">
        <v>0</v>
      </c>
      <c r="E116" s="342">
        <v>0</v>
      </c>
      <c r="F116" s="342">
        <v>136261122</v>
      </c>
      <c r="G116" s="342">
        <f t="shared" si="1"/>
        <v>0</v>
      </c>
    </row>
    <row r="117" spans="1:7" ht="12.75">
      <c r="A117" s="341">
        <v>2000</v>
      </c>
      <c r="B117" s="341" t="s">
        <v>50</v>
      </c>
      <c r="C117" s="342">
        <v>52495788.85</v>
      </c>
      <c r="D117" s="342">
        <v>259303436</v>
      </c>
      <c r="E117" s="342">
        <v>322211385.51</v>
      </c>
      <c r="F117" s="342">
        <v>115403738.36</v>
      </c>
      <c r="G117" s="342">
        <f t="shared" si="1"/>
        <v>62907949.51</v>
      </c>
    </row>
    <row r="118" spans="1:7" ht="12.75">
      <c r="A118" s="341">
        <v>2400</v>
      </c>
      <c r="B118" s="341" t="s">
        <v>365</v>
      </c>
      <c r="C118" s="342">
        <v>20191882.57</v>
      </c>
      <c r="D118" s="342">
        <v>207506478</v>
      </c>
      <c r="E118" s="342">
        <v>212674634.16</v>
      </c>
      <c r="F118" s="342">
        <v>25360038.73</v>
      </c>
      <c r="G118" s="342">
        <f t="shared" si="1"/>
        <v>5168156.16</v>
      </c>
    </row>
    <row r="119" spans="1:7" ht="12.75">
      <c r="A119" s="341">
        <v>2405</v>
      </c>
      <c r="B119" s="341" t="s">
        <v>366</v>
      </c>
      <c r="C119" s="342">
        <v>664650</v>
      </c>
      <c r="D119" s="342">
        <v>14735746</v>
      </c>
      <c r="E119" s="342">
        <v>15677296</v>
      </c>
      <c r="F119" s="342">
        <v>1606200</v>
      </c>
      <c r="G119" s="342">
        <f t="shared" si="1"/>
        <v>941550</v>
      </c>
    </row>
    <row r="120" spans="1:7" ht="12.75">
      <c r="A120" s="341">
        <v>240595</v>
      </c>
      <c r="B120" s="341" t="s">
        <v>367</v>
      </c>
      <c r="C120" s="342">
        <v>664650</v>
      </c>
      <c r="D120" s="342">
        <v>14735746</v>
      </c>
      <c r="E120" s="342">
        <v>15677296</v>
      </c>
      <c r="F120" s="342">
        <v>1606200</v>
      </c>
      <c r="G120" s="342">
        <f t="shared" si="1"/>
        <v>941550</v>
      </c>
    </row>
    <row r="121" spans="1:7" ht="12.75">
      <c r="A121" s="341">
        <v>24159501</v>
      </c>
      <c r="B121" s="341" t="s">
        <v>55</v>
      </c>
      <c r="C121" s="342">
        <v>664650</v>
      </c>
      <c r="D121" s="342">
        <v>14735746</v>
      </c>
      <c r="E121" s="342">
        <v>15677296</v>
      </c>
      <c r="F121" s="342">
        <v>1606200</v>
      </c>
      <c r="G121" s="342">
        <f t="shared" si="1"/>
        <v>941550</v>
      </c>
    </row>
    <row r="122" spans="1:7" ht="12.75">
      <c r="A122" s="341">
        <v>2435</v>
      </c>
      <c r="B122" s="341" t="s">
        <v>368</v>
      </c>
      <c r="C122" s="342">
        <v>102251</v>
      </c>
      <c r="D122" s="342">
        <v>73978</v>
      </c>
      <c r="E122" s="342">
        <v>264441</v>
      </c>
      <c r="F122" s="342">
        <v>292714</v>
      </c>
      <c r="G122" s="342">
        <f t="shared" si="1"/>
        <v>190463</v>
      </c>
    </row>
    <row r="123" spans="1:7" ht="12.75">
      <c r="A123" s="341">
        <v>243525</v>
      </c>
      <c r="B123" s="341" t="s">
        <v>371</v>
      </c>
      <c r="C123" s="342">
        <v>73978</v>
      </c>
      <c r="D123" s="342">
        <v>73978</v>
      </c>
      <c r="E123" s="342">
        <v>139788</v>
      </c>
      <c r="F123" s="342">
        <v>139788</v>
      </c>
      <c r="G123" s="342">
        <f t="shared" si="1"/>
        <v>65810</v>
      </c>
    </row>
    <row r="124" spans="1:7" ht="12.75">
      <c r="A124" s="341">
        <v>24452502</v>
      </c>
      <c r="B124" s="341" t="s">
        <v>373</v>
      </c>
      <c r="C124" s="342">
        <v>21600</v>
      </c>
      <c r="D124" s="342">
        <v>21600</v>
      </c>
      <c r="E124" s="342">
        <v>79800</v>
      </c>
      <c r="F124" s="342">
        <v>79800</v>
      </c>
      <c r="G124" s="342">
        <f t="shared" si="1"/>
        <v>58200</v>
      </c>
    </row>
    <row r="125" spans="1:7" ht="12.75">
      <c r="A125" s="341">
        <v>24452503</v>
      </c>
      <c r="B125" s="341" t="s">
        <v>607</v>
      </c>
      <c r="C125" s="342">
        <v>4078</v>
      </c>
      <c r="D125" s="342">
        <v>4078</v>
      </c>
      <c r="E125" s="342">
        <v>4078</v>
      </c>
      <c r="F125" s="342">
        <v>4078</v>
      </c>
      <c r="G125" s="342">
        <f t="shared" si="1"/>
        <v>0</v>
      </c>
    </row>
    <row r="126" spans="1:7" ht="12.75">
      <c r="A126" s="341">
        <v>24452504</v>
      </c>
      <c r="B126" s="341" t="s">
        <v>374</v>
      </c>
      <c r="C126" s="342">
        <v>48300</v>
      </c>
      <c r="D126" s="342">
        <v>48300</v>
      </c>
      <c r="E126" s="342">
        <v>55910</v>
      </c>
      <c r="F126" s="342">
        <v>55910</v>
      </c>
      <c r="G126" s="342">
        <f t="shared" si="1"/>
        <v>7610</v>
      </c>
    </row>
    <row r="127" spans="1:7" ht="12.75">
      <c r="A127" s="341">
        <v>243540</v>
      </c>
      <c r="B127" s="341" t="s">
        <v>375</v>
      </c>
      <c r="C127" s="342">
        <v>0</v>
      </c>
      <c r="D127" s="342">
        <v>0</v>
      </c>
      <c r="E127" s="342">
        <v>56239</v>
      </c>
      <c r="F127" s="342">
        <v>56239</v>
      </c>
      <c r="G127" s="342">
        <f t="shared" si="1"/>
        <v>56239</v>
      </c>
    </row>
    <row r="128" spans="1:7" ht="12.75">
      <c r="A128" s="341">
        <v>24454001</v>
      </c>
      <c r="B128" s="341" t="s">
        <v>376</v>
      </c>
      <c r="C128" s="342">
        <v>0</v>
      </c>
      <c r="D128" s="342">
        <v>0</v>
      </c>
      <c r="E128" s="342">
        <v>56239</v>
      </c>
      <c r="F128" s="342">
        <v>56239</v>
      </c>
      <c r="G128" s="342">
        <f t="shared" si="1"/>
        <v>56239</v>
      </c>
    </row>
    <row r="129" spans="1:7" ht="12.75">
      <c r="A129" s="341">
        <v>243575</v>
      </c>
      <c r="B129" s="341" t="s">
        <v>377</v>
      </c>
      <c r="C129" s="342">
        <v>28273</v>
      </c>
      <c r="D129" s="342">
        <v>0</v>
      </c>
      <c r="E129" s="342">
        <v>68414</v>
      </c>
      <c r="F129" s="342">
        <v>96687</v>
      </c>
      <c r="G129" s="342">
        <f t="shared" si="1"/>
        <v>68414</v>
      </c>
    </row>
    <row r="130" spans="1:7" ht="12.75">
      <c r="A130" s="341">
        <v>24480501</v>
      </c>
      <c r="B130" s="341" t="s">
        <v>378</v>
      </c>
      <c r="C130" s="342">
        <v>28273</v>
      </c>
      <c r="D130" s="342">
        <v>0</v>
      </c>
      <c r="E130" s="342">
        <v>68414</v>
      </c>
      <c r="F130" s="342">
        <v>96687</v>
      </c>
      <c r="G130" s="342">
        <f t="shared" si="1"/>
        <v>68414</v>
      </c>
    </row>
    <row r="131" spans="1:7" ht="12.75">
      <c r="A131" s="341">
        <v>2440</v>
      </c>
      <c r="B131" s="341" t="s">
        <v>379</v>
      </c>
      <c r="C131" s="342">
        <v>7262700</v>
      </c>
      <c r="D131" s="342">
        <v>0</v>
      </c>
      <c r="E131" s="342">
        <v>4681300</v>
      </c>
      <c r="F131" s="342">
        <v>11944000</v>
      </c>
      <c r="G131" s="342">
        <f aca="true" t="shared" si="2" ref="G131:G194">+F131-C131</f>
        <v>4681300</v>
      </c>
    </row>
    <row r="132" spans="1:7" ht="12.75">
      <c r="A132" s="341">
        <v>244015</v>
      </c>
      <c r="B132" s="341" t="s">
        <v>380</v>
      </c>
      <c r="C132" s="342">
        <v>7262700</v>
      </c>
      <c r="D132" s="342">
        <v>0</v>
      </c>
      <c r="E132" s="342">
        <v>4681300</v>
      </c>
      <c r="F132" s="342">
        <v>11944000</v>
      </c>
      <c r="G132" s="342">
        <f t="shared" si="2"/>
        <v>4681300</v>
      </c>
    </row>
    <row r="133" spans="1:7" ht="12.75">
      <c r="A133" s="341">
        <v>25150501</v>
      </c>
      <c r="B133" s="341" t="s">
        <v>381</v>
      </c>
      <c r="C133" s="342">
        <v>7262700</v>
      </c>
      <c r="D133" s="342">
        <v>0</v>
      </c>
      <c r="E133" s="342">
        <v>4681300</v>
      </c>
      <c r="F133" s="342">
        <v>11944000</v>
      </c>
      <c r="G133" s="342">
        <f t="shared" si="2"/>
        <v>4681300</v>
      </c>
    </row>
    <row r="134" spans="1:7" ht="12.75">
      <c r="A134" s="341">
        <v>2450</v>
      </c>
      <c r="B134" s="341" t="s">
        <v>382</v>
      </c>
      <c r="C134" s="342">
        <v>2816900</v>
      </c>
      <c r="D134" s="342">
        <v>3784224</v>
      </c>
      <c r="E134" s="342">
        <v>3324493</v>
      </c>
      <c r="F134" s="342">
        <v>2357169</v>
      </c>
      <c r="G134" s="342">
        <f t="shared" si="2"/>
        <v>-459731</v>
      </c>
    </row>
    <row r="135" spans="1:7" ht="12.75">
      <c r="A135" s="341">
        <v>245005</v>
      </c>
      <c r="B135" s="341" t="s">
        <v>383</v>
      </c>
      <c r="C135" s="342">
        <v>493100</v>
      </c>
      <c r="D135" s="342">
        <v>985936</v>
      </c>
      <c r="E135" s="342">
        <v>522997</v>
      </c>
      <c r="F135" s="342">
        <v>30161</v>
      </c>
      <c r="G135" s="342">
        <f t="shared" si="2"/>
        <v>-462939</v>
      </c>
    </row>
    <row r="136" spans="1:7" ht="12.75">
      <c r="A136" s="341">
        <v>24500501</v>
      </c>
      <c r="B136" s="341" t="s">
        <v>384</v>
      </c>
      <c r="C136" s="342">
        <v>493100</v>
      </c>
      <c r="D136" s="342">
        <v>985936</v>
      </c>
      <c r="E136" s="342">
        <v>522997</v>
      </c>
      <c r="F136" s="342">
        <v>30161</v>
      </c>
      <c r="G136" s="342">
        <f t="shared" si="2"/>
        <v>-462939</v>
      </c>
    </row>
    <row r="137" spans="1:7" ht="12.75">
      <c r="A137" s="341">
        <v>245010</v>
      </c>
      <c r="B137" s="341" t="s">
        <v>385</v>
      </c>
      <c r="C137" s="342">
        <v>1766100</v>
      </c>
      <c r="D137" s="342">
        <v>2240588</v>
      </c>
      <c r="E137" s="342">
        <v>504649</v>
      </c>
      <c r="F137" s="342">
        <v>30161</v>
      </c>
      <c r="G137" s="342">
        <f t="shared" si="2"/>
        <v>-1735939</v>
      </c>
    </row>
    <row r="138" spans="1:7" ht="12.75">
      <c r="A138" s="341">
        <v>24501001</v>
      </c>
      <c r="B138" s="341" t="s">
        <v>386</v>
      </c>
      <c r="C138" s="342">
        <v>1766100</v>
      </c>
      <c r="D138" s="342">
        <v>2240588</v>
      </c>
      <c r="E138" s="342">
        <v>504649</v>
      </c>
      <c r="F138" s="342">
        <v>30161</v>
      </c>
      <c r="G138" s="342">
        <f t="shared" si="2"/>
        <v>-1735939</v>
      </c>
    </row>
    <row r="139" spans="1:7" ht="12.75">
      <c r="A139" s="341">
        <v>245015</v>
      </c>
      <c r="B139" s="341" t="s">
        <v>387</v>
      </c>
      <c r="C139" s="342">
        <v>64600</v>
      </c>
      <c r="D139" s="342">
        <v>64600</v>
      </c>
      <c r="E139" s="342">
        <v>0</v>
      </c>
      <c r="F139" s="342">
        <v>0</v>
      </c>
      <c r="G139" s="342">
        <f t="shared" si="2"/>
        <v>-64600</v>
      </c>
    </row>
    <row r="140" spans="1:7" ht="12.75">
      <c r="A140" s="341">
        <v>24501501</v>
      </c>
      <c r="B140" s="341" t="s">
        <v>388</v>
      </c>
      <c r="C140" s="342">
        <v>64600</v>
      </c>
      <c r="D140" s="342">
        <v>64600</v>
      </c>
      <c r="E140" s="342">
        <v>0</v>
      </c>
      <c r="F140" s="342">
        <v>0</v>
      </c>
      <c r="G140" s="342">
        <f t="shared" si="2"/>
        <v>-64600</v>
      </c>
    </row>
    <row r="141" spans="1:7" ht="12.75">
      <c r="A141" s="341">
        <v>245020</v>
      </c>
      <c r="B141" s="341" t="s">
        <v>389</v>
      </c>
      <c r="C141" s="342">
        <v>493100</v>
      </c>
      <c r="D141" s="342">
        <v>493100</v>
      </c>
      <c r="E141" s="342">
        <v>2296847</v>
      </c>
      <c r="F141" s="342">
        <v>2296847</v>
      </c>
      <c r="G141" s="342">
        <f t="shared" si="2"/>
        <v>1803747</v>
      </c>
    </row>
    <row r="142" spans="1:7" ht="12.75">
      <c r="A142" s="341">
        <v>24502001</v>
      </c>
      <c r="B142" s="341" t="s">
        <v>390</v>
      </c>
      <c r="C142" s="342">
        <v>493100</v>
      </c>
      <c r="D142" s="342">
        <v>493100</v>
      </c>
      <c r="E142" s="342">
        <v>2296847</v>
      </c>
      <c r="F142" s="342">
        <v>2296847</v>
      </c>
      <c r="G142" s="342">
        <f t="shared" si="2"/>
        <v>1803747</v>
      </c>
    </row>
    <row r="143" spans="1:7" ht="12.75">
      <c r="A143" s="341">
        <v>2460</v>
      </c>
      <c r="B143" s="341" t="s">
        <v>391</v>
      </c>
      <c r="C143" s="342">
        <v>2000000</v>
      </c>
      <c r="D143" s="342">
        <v>188912530</v>
      </c>
      <c r="E143" s="342">
        <v>186912530</v>
      </c>
      <c r="F143" s="342">
        <v>0</v>
      </c>
      <c r="G143" s="342">
        <f t="shared" si="2"/>
        <v>-2000000</v>
      </c>
    </row>
    <row r="144" spans="1:7" ht="12.75">
      <c r="A144" s="341">
        <v>246035</v>
      </c>
      <c r="B144" s="341" t="s">
        <v>392</v>
      </c>
      <c r="C144" s="342">
        <v>2000000</v>
      </c>
      <c r="D144" s="342">
        <v>188912530</v>
      </c>
      <c r="E144" s="342">
        <v>186912530</v>
      </c>
      <c r="F144" s="342">
        <v>0</v>
      </c>
      <c r="G144" s="342">
        <f t="shared" si="2"/>
        <v>-2000000</v>
      </c>
    </row>
    <row r="145" spans="1:7" ht="12.75">
      <c r="A145" s="341">
        <v>24959502</v>
      </c>
      <c r="B145" s="341" t="s">
        <v>393</v>
      </c>
      <c r="C145" s="342">
        <v>2000000</v>
      </c>
      <c r="D145" s="342">
        <v>188912530</v>
      </c>
      <c r="E145" s="342">
        <v>186912530</v>
      </c>
      <c r="F145" s="342">
        <v>0</v>
      </c>
      <c r="G145" s="342">
        <f t="shared" si="2"/>
        <v>-2000000</v>
      </c>
    </row>
    <row r="146" spans="1:7" ht="12.75">
      <c r="A146" s="341">
        <v>2465</v>
      </c>
      <c r="B146" s="341" t="s">
        <v>396</v>
      </c>
      <c r="C146" s="342">
        <v>7345381.57</v>
      </c>
      <c r="D146" s="342">
        <v>0</v>
      </c>
      <c r="E146" s="342">
        <v>1814574.16</v>
      </c>
      <c r="F146" s="342">
        <v>9159955.73</v>
      </c>
      <c r="G146" s="342">
        <f t="shared" si="2"/>
        <v>1814574.1600000001</v>
      </c>
    </row>
    <row r="147" spans="1:7" ht="12.75">
      <c r="A147" s="341">
        <v>246505</v>
      </c>
      <c r="B147" s="341" t="s">
        <v>397</v>
      </c>
      <c r="C147" s="342">
        <v>7345381.57</v>
      </c>
      <c r="D147" s="342">
        <v>0</v>
      </c>
      <c r="E147" s="342">
        <v>1814574.16</v>
      </c>
      <c r="F147" s="342">
        <v>9159955.73</v>
      </c>
      <c r="G147" s="342">
        <f t="shared" si="2"/>
        <v>1814574.1600000001</v>
      </c>
    </row>
    <row r="148" spans="1:7" ht="12.75">
      <c r="A148" s="341">
        <v>24650501</v>
      </c>
      <c r="B148" s="341" t="s">
        <v>398</v>
      </c>
      <c r="C148" s="342">
        <v>7345381.57</v>
      </c>
      <c r="D148" s="342">
        <v>0</v>
      </c>
      <c r="E148" s="342">
        <v>1814574.16</v>
      </c>
      <c r="F148" s="342">
        <v>9159955.73</v>
      </c>
      <c r="G148" s="342">
        <f t="shared" si="2"/>
        <v>1814574.1600000001</v>
      </c>
    </row>
    <row r="149" spans="1:7" ht="12.75">
      <c r="A149" s="341">
        <v>2600</v>
      </c>
      <c r="B149" s="341" t="s">
        <v>399</v>
      </c>
      <c r="C149" s="342">
        <v>-1722003.61</v>
      </c>
      <c r="D149" s="342">
        <v>4837190</v>
      </c>
      <c r="E149" s="342">
        <v>18388217</v>
      </c>
      <c r="F149" s="342">
        <v>11829023.39</v>
      </c>
      <c r="G149" s="342">
        <f t="shared" si="2"/>
        <v>13551027</v>
      </c>
    </row>
    <row r="150" spans="1:7" ht="12.75">
      <c r="A150" s="341">
        <v>2605</v>
      </c>
      <c r="B150" s="341" t="s">
        <v>400</v>
      </c>
      <c r="C150" s="342">
        <v>8178598.4</v>
      </c>
      <c r="D150" s="342">
        <v>0</v>
      </c>
      <c r="E150" s="342">
        <v>0</v>
      </c>
      <c r="F150" s="342">
        <v>8178598.4</v>
      </c>
      <c r="G150" s="342">
        <f t="shared" si="2"/>
        <v>0</v>
      </c>
    </row>
    <row r="151" spans="1:7" ht="12.75">
      <c r="A151" s="341">
        <v>26050501</v>
      </c>
      <c r="B151" s="341" t="s">
        <v>401</v>
      </c>
      <c r="C151" s="342">
        <v>8178598.4</v>
      </c>
      <c r="D151" s="342">
        <v>0</v>
      </c>
      <c r="E151" s="342">
        <v>0</v>
      </c>
      <c r="F151" s="342">
        <v>8178598.4</v>
      </c>
      <c r="G151" s="342">
        <f t="shared" si="2"/>
        <v>0</v>
      </c>
    </row>
    <row r="152" spans="1:7" ht="12.75">
      <c r="A152" s="341">
        <v>2610</v>
      </c>
      <c r="B152" s="341" t="s">
        <v>402</v>
      </c>
      <c r="C152" s="342">
        <v>7143797.99</v>
      </c>
      <c r="D152" s="342">
        <v>4631590</v>
      </c>
      <c r="E152" s="342">
        <v>1138217</v>
      </c>
      <c r="F152" s="342">
        <v>3650424.99</v>
      </c>
      <c r="G152" s="342">
        <f t="shared" si="2"/>
        <v>-3493373</v>
      </c>
    </row>
    <row r="153" spans="1:7" ht="12.75">
      <c r="A153" s="341">
        <v>26100501</v>
      </c>
      <c r="B153" s="341" t="s">
        <v>403</v>
      </c>
      <c r="C153" s="342">
        <v>7143797.99</v>
      </c>
      <c r="D153" s="342">
        <v>4631590</v>
      </c>
      <c r="E153" s="342">
        <v>1138217</v>
      </c>
      <c r="F153" s="342">
        <v>3650424.99</v>
      </c>
      <c r="G153" s="342">
        <f t="shared" si="2"/>
        <v>-3493373</v>
      </c>
    </row>
    <row r="154" spans="1:7" ht="12.75">
      <c r="A154" s="341">
        <v>2625</v>
      </c>
      <c r="B154" s="341" t="s">
        <v>608</v>
      </c>
      <c r="C154" s="342">
        <v>-17044400</v>
      </c>
      <c r="D154" s="342">
        <v>205600</v>
      </c>
      <c r="E154" s="342">
        <v>17250000</v>
      </c>
      <c r="F154" s="342">
        <v>0</v>
      </c>
      <c r="G154" s="342">
        <f t="shared" si="2"/>
        <v>17044400</v>
      </c>
    </row>
    <row r="155" spans="1:7" ht="12.75">
      <c r="A155" s="341">
        <v>26250501</v>
      </c>
      <c r="B155" s="341" t="s">
        <v>89</v>
      </c>
      <c r="C155" s="342">
        <v>-17044400</v>
      </c>
      <c r="D155" s="342">
        <v>205600</v>
      </c>
      <c r="E155" s="342">
        <v>17250000</v>
      </c>
      <c r="F155" s="342">
        <v>0</v>
      </c>
      <c r="G155" s="342">
        <f t="shared" si="2"/>
        <v>17044400</v>
      </c>
    </row>
    <row r="156" spans="1:7" ht="12.75">
      <c r="A156" s="341">
        <v>2700</v>
      </c>
      <c r="B156" s="341" t="s">
        <v>404</v>
      </c>
      <c r="C156" s="342">
        <v>34025909.89</v>
      </c>
      <c r="D156" s="342">
        <v>46959768</v>
      </c>
      <c r="E156" s="342">
        <v>91148534.35</v>
      </c>
      <c r="F156" s="342">
        <v>78214676.24</v>
      </c>
      <c r="G156" s="342">
        <f t="shared" si="2"/>
        <v>44188766.349999994</v>
      </c>
    </row>
    <row r="157" spans="1:7" ht="12.75">
      <c r="A157" s="341">
        <v>2710</v>
      </c>
      <c r="B157" s="341" t="s">
        <v>405</v>
      </c>
      <c r="C157" s="342">
        <v>28257257</v>
      </c>
      <c r="D157" s="342">
        <v>38581539</v>
      </c>
      <c r="E157" s="342">
        <v>30569550</v>
      </c>
      <c r="F157" s="342">
        <v>20245268</v>
      </c>
      <c r="G157" s="342">
        <f t="shared" si="2"/>
        <v>-8011989</v>
      </c>
    </row>
    <row r="158" spans="1:7" ht="12.75">
      <c r="A158" s="341">
        <v>271005</v>
      </c>
      <c r="B158" s="341" t="s">
        <v>406</v>
      </c>
      <c r="C158" s="342">
        <v>28257257</v>
      </c>
      <c r="D158" s="342">
        <v>38581539</v>
      </c>
      <c r="E158" s="342">
        <v>30569550</v>
      </c>
      <c r="F158" s="342">
        <v>20245268</v>
      </c>
      <c r="G158" s="342">
        <f t="shared" si="2"/>
        <v>-8011989</v>
      </c>
    </row>
    <row r="159" spans="1:7" ht="12.75">
      <c r="A159" s="341">
        <v>24951001</v>
      </c>
      <c r="B159" s="341" t="s">
        <v>395</v>
      </c>
      <c r="C159" s="342">
        <v>0</v>
      </c>
      <c r="D159" s="342">
        <v>21406924</v>
      </c>
      <c r="E159" s="342">
        <v>21406924</v>
      </c>
      <c r="F159" s="342">
        <v>0</v>
      </c>
      <c r="G159" s="342">
        <f t="shared" si="2"/>
        <v>0</v>
      </c>
    </row>
    <row r="160" spans="1:7" ht="12.75">
      <c r="A160" s="341">
        <v>28250501</v>
      </c>
      <c r="B160" s="341" t="s">
        <v>407</v>
      </c>
      <c r="C160" s="342">
        <v>11435904</v>
      </c>
      <c r="D160" s="342">
        <v>0</v>
      </c>
      <c r="E160" s="342">
        <v>1273118</v>
      </c>
      <c r="F160" s="342">
        <v>12709022</v>
      </c>
      <c r="G160" s="342">
        <f t="shared" si="2"/>
        <v>1273118</v>
      </c>
    </row>
    <row r="161" spans="1:7" ht="12.75">
      <c r="A161" s="341">
        <v>28251001</v>
      </c>
      <c r="B161" s="341" t="s">
        <v>408</v>
      </c>
      <c r="C161" s="342">
        <v>1606357</v>
      </c>
      <c r="D161" s="342">
        <v>209367</v>
      </c>
      <c r="E161" s="342">
        <v>128093</v>
      </c>
      <c r="F161" s="342">
        <v>1525083</v>
      </c>
      <c r="G161" s="342">
        <f t="shared" si="2"/>
        <v>-81274</v>
      </c>
    </row>
    <row r="162" spans="1:7" ht="12.75">
      <c r="A162" s="341">
        <v>28251501</v>
      </c>
      <c r="B162" s="341" t="s">
        <v>409</v>
      </c>
      <c r="C162" s="342">
        <v>9921691</v>
      </c>
      <c r="D162" s="342">
        <v>10610736</v>
      </c>
      <c r="E162" s="342">
        <v>6700208</v>
      </c>
      <c r="F162" s="342">
        <v>6011163</v>
      </c>
      <c r="G162" s="342">
        <f t="shared" si="2"/>
        <v>-3910528</v>
      </c>
    </row>
    <row r="163" spans="1:7" ht="12.75">
      <c r="A163" s="341">
        <v>28252001</v>
      </c>
      <c r="B163" s="341" t="s">
        <v>410</v>
      </c>
      <c r="C163" s="342">
        <v>5293305</v>
      </c>
      <c r="D163" s="342">
        <v>6354512</v>
      </c>
      <c r="E163" s="342">
        <v>1061207</v>
      </c>
      <c r="F163" s="342">
        <v>0</v>
      </c>
      <c r="G163" s="342">
        <f t="shared" si="2"/>
        <v>-5293305</v>
      </c>
    </row>
    <row r="164" spans="1:7" ht="12.75">
      <c r="A164" s="341">
        <v>2720</v>
      </c>
      <c r="B164" s="341" t="s">
        <v>411</v>
      </c>
      <c r="C164" s="342">
        <v>5159880.79</v>
      </c>
      <c r="D164" s="342">
        <v>3925590</v>
      </c>
      <c r="E164" s="342">
        <v>5798052</v>
      </c>
      <c r="F164" s="342">
        <v>7032342.79</v>
      </c>
      <c r="G164" s="342">
        <f t="shared" si="2"/>
        <v>1872462</v>
      </c>
    </row>
    <row r="165" spans="1:7" ht="12.75">
      <c r="A165" s="341">
        <v>272005</v>
      </c>
      <c r="B165" s="341" t="s">
        <v>412</v>
      </c>
      <c r="C165" s="342">
        <v>3662426</v>
      </c>
      <c r="D165" s="342">
        <v>1291182</v>
      </c>
      <c r="E165" s="342">
        <v>3024116</v>
      </c>
      <c r="F165" s="342">
        <v>5395360</v>
      </c>
      <c r="G165" s="342">
        <f t="shared" si="2"/>
        <v>1732934</v>
      </c>
    </row>
    <row r="166" spans="1:7" ht="12.75">
      <c r="A166" s="341">
        <v>27250501</v>
      </c>
      <c r="B166" s="341" t="s">
        <v>413</v>
      </c>
      <c r="C166" s="342">
        <v>3662426</v>
      </c>
      <c r="D166" s="342">
        <v>1291182</v>
      </c>
      <c r="E166" s="342">
        <v>3024116</v>
      </c>
      <c r="F166" s="342">
        <v>5395360</v>
      </c>
      <c r="G166" s="342">
        <f t="shared" si="2"/>
        <v>1732934</v>
      </c>
    </row>
    <row r="167" spans="1:7" ht="12.75">
      <c r="A167" s="341">
        <v>272095</v>
      </c>
      <c r="B167" s="341" t="s">
        <v>338</v>
      </c>
      <c r="C167" s="342">
        <v>1497454.79</v>
      </c>
      <c r="D167" s="342">
        <v>2634408</v>
      </c>
      <c r="E167" s="342">
        <v>2773936</v>
      </c>
      <c r="F167" s="342">
        <v>1636982.79</v>
      </c>
      <c r="G167" s="342">
        <f t="shared" si="2"/>
        <v>139528</v>
      </c>
    </row>
    <row r="168" spans="1:7" ht="12.75">
      <c r="A168" s="341">
        <v>27950501</v>
      </c>
      <c r="B168" s="341" t="s">
        <v>415</v>
      </c>
      <c r="C168" s="342">
        <v>1497454.79</v>
      </c>
      <c r="D168" s="342">
        <v>2634408</v>
      </c>
      <c r="E168" s="342">
        <v>2773936</v>
      </c>
      <c r="F168" s="342">
        <v>1636982.79</v>
      </c>
      <c r="G168" s="342">
        <f t="shared" si="2"/>
        <v>139528</v>
      </c>
    </row>
    <row r="169" spans="1:7" ht="12.75">
      <c r="A169" s="341">
        <v>2725</v>
      </c>
      <c r="B169" s="341" t="s">
        <v>416</v>
      </c>
      <c r="C169" s="342">
        <v>608772.1</v>
      </c>
      <c r="D169" s="342">
        <v>4452639</v>
      </c>
      <c r="E169" s="342">
        <v>54780932.35</v>
      </c>
      <c r="F169" s="342">
        <v>50937065.45</v>
      </c>
      <c r="G169" s="342">
        <f t="shared" si="2"/>
        <v>50328293.35</v>
      </c>
    </row>
    <row r="170" spans="1:7" ht="12.75">
      <c r="A170" s="341">
        <v>272505</v>
      </c>
      <c r="B170" s="341" t="s">
        <v>417</v>
      </c>
      <c r="C170" s="342">
        <v>608772.1</v>
      </c>
      <c r="D170" s="342">
        <v>4452639</v>
      </c>
      <c r="E170" s="342">
        <v>54780932.35</v>
      </c>
      <c r="F170" s="342">
        <v>50937065.45</v>
      </c>
      <c r="G170" s="342">
        <f t="shared" si="2"/>
        <v>50328293.35</v>
      </c>
    </row>
    <row r="171" spans="1:7" ht="12.75">
      <c r="A171" s="341">
        <v>24959503</v>
      </c>
      <c r="B171" s="341" t="s">
        <v>394</v>
      </c>
      <c r="C171" s="342">
        <v>-1359030</v>
      </c>
      <c r="D171" s="342">
        <v>336960</v>
      </c>
      <c r="E171" s="342">
        <v>1695990</v>
      </c>
      <c r="F171" s="342">
        <v>0</v>
      </c>
      <c r="G171" s="342">
        <f t="shared" si="2"/>
        <v>1359030</v>
      </c>
    </row>
    <row r="172" spans="1:7" ht="12.75">
      <c r="A172" s="341">
        <v>27400501</v>
      </c>
      <c r="B172" s="341" t="s">
        <v>418</v>
      </c>
      <c r="C172" s="342">
        <v>3269759</v>
      </c>
      <c r="D172" s="342">
        <v>0</v>
      </c>
      <c r="E172" s="342">
        <v>3926227</v>
      </c>
      <c r="F172" s="342">
        <v>7195986</v>
      </c>
      <c r="G172" s="342">
        <f t="shared" si="2"/>
        <v>3926227</v>
      </c>
    </row>
    <row r="173" spans="1:7" ht="12.75">
      <c r="A173" s="341">
        <v>27400503</v>
      </c>
      <c r="B173" s="341" t="s">
        <v>80</v>
      </c>
      <c r="C173" s="342">
        <v>-1301956.9</v>
      </c>
      <c r="D173" s="342">
        <v>4115679</v>
      </c>
      <c r="E173" s="342">
        <v>49158715.35</v>
      </c>
      <c r="F173" s="342">
        <v>43741079.45</v>
      </c>
      <c r="G173" s="342">
        <f t="shared" si="2"/>
        <v>45043036.35</v>
      </c>
    </row>
    <row r="174" spans="1:7" ht="12.75">
      <c r="A174" s="341">
        <v>3000</v>
      </c>
      <c r="B174" s="341" t="s">
        <v>65</v>
      </c>
      <c r="C174" s="342">
        <v>6761995983.04</v>
      </c>
      <c r="D174" s="342">
        <v>19309922.73</v>
      </c>
      <c r="E174" s="342">
        <v>81317515</v>
      </c>
      <c r="F174" s="342">
        <v>6824003575.31</v>
      </c>
      <c r="G174" s="342">
        <f t="shared" si="2"/>
        <v>62007592.27000046</v>
      </c>
    </row>
    <row r="175" spans="1:7" ht="12.75">
      <c r="A175" s="341">
        <v>3100</v>
      </c>
      <c r="B175" s="341" t="s">
        <v>420</v>
      </c>
      <c r="C175" s="342">
        <v>5571154153.53</v>
      </c>
      <c r="D175" s="342">
        <v>19309922.73</v>
      </c>
      <c r="E175" s="342">
        <v>81317515</v>
      </c>
      <c r="F175" s="342">
        <v>5633161745.8</v>
      </c>
      <c r="G175" s="342">
        <f t="shared" si="2"/>
        <v>62007592.27000046</v>
      </c>
    </row>
    <row r="176" spans="1:7" ht="12.75">
      <c r="A176" s="341">
        <v>3105</v>
      </c>
      <c r="B176" s="341" t="s">
        <v>421</v>
      </c>
      <c r="C176" s="342">
        <v>5571154153.53</v>
      </c>
      <c r="D176" s="342">
        <v>19309922.73</v>
      </c>
      <c r="E176" s="342">
        <v>81317515</v>
      </c>
      <c r="F176" s="342">
        <v>5633161745.8</v>
      </c>
      <c r="G176" s="342">
        <f t="shared" si="2"/>
        <v>62007592.27000046</v>
      </c>
    </row>
    <row r="177" spans="1:7" ht="12.75">
      <c r="A177" s="341">
        <v>310505</v>
      </c>
      <c r="B177" s="341" t="s">
        <v>422</v>
      </c>
      <c r="C177" s="342">
        <v>5571154153.53</v>
      </c>
      <c r="D177" s="342">
        <v>19309922.73</v>
      </c>
      <c r="E177" s="342">
        <v>81317515</v>
      </c>
      <c r="F177" s="342">
        <v>5633161745.8</v>
      </c>
      <c r="G177" s="342">
        <f t="shared" si="2"/>
        <v>62007592.27000046</v>
      </c>
    </row>
    <row r="178" spans="1:7" ht="12.75">
      <c r="A178" s="341">
        <v>31050501</v>
      </c>
      <c r="B178" s="341" t="s">
        <v>66</v>
      </c>
      <c r="C178" s="342">
        <v>5571154153.53</v>
      </c>
      <c r="D178" s="342">
        <v>19309922.73</v>
      </c>
      <c r="E178" s="342">
        <v>81317515</v>
      </c>
      <c r="F178" s="342">
        <v>5633161745.8</v>
      </c>
      <c r="G178" s="342">
        <f t="shared" si="2"/>
        <v>62007592.27000046</v>
      </c>
    </row>
    <row r="179" spans="1:7" ht="12.75">
      <c r="A179" s="341">
        <v>3200</v>
      </c>
      <c r="B179" s="341" t="s">
        <v>423</v>
      </c>
      <c r="C179" s="342">
        <v>440067928.95</v>
      </c>
      <c r="D179" s="342">
        <v>0</v>
      </c>
      <c r="E179" s="342">
        <v>0</v>
      </c>
      <c r="F179" s="342">
        <v>440067928.95</v>
      </c>
      <c r="G179" s="342">
        <f t="shared" si="2"/>
        <v>0</v>
      </c>
    </row>
    <row r="180" spans="1:7" ht="12.75">
      <c r="A180" s="341">
        <v>3205</v>
      </c>
      <c r="B180" s="341" t="s">
        <v>424</v>
      </c>
      <c r="C180" s="342">
        <v>416534638.35</v>
      </c>
      <c r="D180" s="342">
        <v>0</v>
      </c>
      <c r="E180" s="342">
        <v>0</v>
      </c>
      <c r="F180" s="342">
        <v>416534638.35</v>
      </c>
      <c r="G180" s="342">
        <f t="shared" si="2"/>
        <v>0</v>
      </c>
    </row>
    <row r="181" spans="1:7" ht="12.75">
      <c r="A181" s="341">
        <v>32050501</v>
      </c>
      <c r="B181" s="341" t="s">
        <v>425</v>
      </c>
      <c r="C181" s="342">
        <v>416534638.35</v>
      </c>
      <c r="D181" s="342">
        <v>0</v>
      </c>
      <c r="E181" s="342">
        <v>0</v>
      </c>
      <c r="F181" s="342">
        <v>416534638.35</v>
      </c>
      <c r="G181" s="342">
        <f t="shared" si="2"/>
        <v>0</v>
      </c>
    </row>
    <row r="182" spans="1:7" ht="12.75">
      <c r="A182" s="341">
        <v>3280</v>
      </c>
      <c r="B182" s="341" t="s">
        <v>426</v>
      </c>
      <c r="C182" s="342">
        <v>23533290.6</v>
      </c>
      <c r="D182" s="342">
        <v>0</v>
      </c>
      <c r="E182" s="342">
        <v>0</v>
      </c>
      <c r="F182" s="342">
        <v>23533290.6</v>
      </c>
      <c r="G182" s="342">
        <f t="shared" si="2"/>
        <v>0</v>
      </c>
    </row>
    <row r="183" spans="1:7" ht="12.75">
      <c r="A183" s="341">
        <v>32800501</v>
      </c>
      <c r="B183" s="341" t="s">
        <v>73</v>
      </c>
      <c r="C183" s="342">
        <v>23533290.6</v>
      </c>
      <c r="D183" s="342">
        <v>0</v>
      </c>
      <c r="E183" s="342">
        <v>0</v>
      </c>
      <c r="F183" s="342">
        <v>23533290.6</v>
      </c>
      <c r="G183" s="342">
        <f t="shared" si="2"/>
        <v>0</v>
      </c>
    </row>
    <row r="184" spans="1:7" ht="12.75">
      <c r="A184" s="341">
        <v>3300</v>
      </c>
      <c r="B184" s="341" t="s">
        <v>427</v>
      </c>
      <c r="C184" s="342">
        <v>267483181.56</v>
      </c>
      <c r="D184" s="342">
        <v>0</v>
      </c>
      <c r="E184" s="342">
        <v>0</v>
      </c>
      <c r="F184" s="342">
        <v>267483181.56</v>
      </c>
      <c r="G184" s="342">
        <f t="shared" si="2"/>
        <v>0</v>
      </c>
    </row>
    <row r="185" spans="1:7" ht="12.75">
      <c r="A185" s="341">
        <v>3305</v>
      </c>
      <c r="B185" s="341" t="s">
        <v>428</v>
      </c>
      <c r="C185" s="342">
        <v>14745982.71</v>
      </c>
      <c r="D185" s="342">
        <v>0</v>
      </c>
      <c r="E185" s="342">
        <v>0</v>
      </c>
      <c r="F185" s="342">
        <v>14745982.71</v>
      </c>
      <c r="G185" s="342">
        <f t="shared" si="2"/>
        <v>0</v>
      </c>
    </row>
    <row r="186" spans="1:7" ht="12.75">
      <c r="A186" s="341">
        <v>33050501</v>
      </c>
      <c r="B186" s="341" t="s">
        <v>429</v>
      </c>
      <c r="C186" s="342">
        <v>14745982.71</v>
      </c>
      <c r="D186" s="342">
        <v>0</v>
      </c>
      <c r="E186" s="342">
        <v>0</v>
      </c>
      <c r="F186" s="342">
        <v>14745982.71</v>
      </c>
      <c r="G186" s="342">
        <f t="shared" si="2"/>
        <v>0</v>
      </c>
    </row>
    <row r="187" spans="1:7" ht="12.75">
      <c r="A187" s="341">
        <v>3325</v>
      </c>
      <c r="B187" s="341" t="s">
        <v>430</v>
      </c>
      <c r="C187" s="342">
        <v>10977610.85</v>
      </c>
      <c r="D187" s="342">
        <v>0</v>
      </c>
      <c r="E187" s="342">
        <v>0</v>
      </c>
      <c r="F187" s="342">
        <v>10977610.85</v>
      </c>
      <c r="G187" s="342">
        <f t="shared" si="2"/>
        <v>0</v>
      </c>
    </row>
    <row r="188" spans="1:7" ht="12.75">
      <c r="A188" s="341">
        <v>33250501</v>
      </c>
      <c r="B188" s="341" t="s">
        <v>431</v>
      </c>
      <c r="C188" s="342">
        <v>10977610.85</v>
      </c>
      <c r="D188" s="342">
        <v>0</v>
      </c>
      <c r="E188" s="342">
        <v>0</v>
      </c>
      <c r="F188" s="342">
        <v>10977610.85</v>
      </c>
      <c r="G188" s="342">
        <f t="shared" si="2"/>
        <v>0</v>
      </c>
    </row>
    <row r="189" spans="1:7" ht="12.75">
      <c r="A189" s="341">
        <v>3330</v>
      </c>
      <c r="B189" s="341" t="s">
        <v>432</v>
      </c>
      <c r="C189" s="342">
        <v>241759588</v>
      </c>
      <c r="D189" s="342">
        <v>0</v>
      </c>
      <c r="E189" s="342">
        <v>0</v>
      </c>
      <c r="F189" s="342">
        <v>241759588</v>
      </c>
      <c r="G189" s="342">
        <f t="shared" si="2"/>
        <v>0</v>
      </c>
    </row>
    <row r="190" spans="1:7" ht="12.75">
      <c r="A190" s="341">
        <v>33300501</v>
      </c>
      <c r="B190" s="341" t="s">
        <v>433</v>
      </c>
      <c r="C190" s="342">
        <v>185000000</v>
      </c>
      <c r="D190" s="342">
        <v>0</v>
      </c>
      <c r="E190" s="342">
        <v>0</v>
      </c>
      <c r="F190" s="342">
        <v>185000000</v>
      </c>
      <c r="G190" s="342">
        <f t="shared" si="2"/>
        <v>0</v>
      </c>
    </row>
    <row r="191" spans="1:7" ht="12.75">
      <c r="A191" s="341">
        <v>33300502</v>
      </c>
      <c r="B191" s="341" t="s">
        <v>434</v>
      </c>
      <c r="C191" s="342">
        <v>20588388</v>
      </c>
      <c r="D191" s="342">
        <v>0</v>
      </c>
      <c r="E191" s="342">
        <v>0</v>
      </c>
      <c r="F191" s="342">
        <v>20588388</v>
      </c>
      <c r="G191" s="342">
        <f t="shared" si="2"/>
        <v>0</v>
      </c>
    </row>
    <row r="192" spans="1:7" ht="12.75">
      <c r="A192" s="341">
        <v>33300503</v>
      </c>
      <c r="B192" s="341" t="s">
        <v>435</v>
      </c>
      <c r="C192" s="342">
        <v>36171200</v>
      </c>
      <c r="D192" s="342">
        <v>0</v>
      </c>
      <c r="E192" s="342">
        <v>0</v>
      </c>
      <c r="F192" s="342">
        <v>36171200</v>
      </c>
      <c r="G192" s="342">
        <f t="shared" si="2"/>
        <v>0</v>
      </c>
    </row>
    <row r="193" spans="1:7" ht="12.75">
      <c r="A193" s="341">
        <v>3400</v>
      </c>
      <c r="B193" s="341" t="s">
        <v>609</v>
      </c>
      <c r="C193" s="342">
        <v>483290719</v>
      </c>
      <c r="D193" s="342">
        <v>0</v>
      </c>
      <c r="E193" s="342">
        <v>0</v>
      </c>
      <c r="F193" s="342">
        <v>483290719</v>
      </c>
      <c r="G193" s="342">
        <f t="shared" si="2"/>
        <v>0</v>
      </c>
    </row>
    <row r="194" spans="1:7" ht="12.75">
      <c r="A194" s="341">
        <v>3410</v>
      </c>
      <c r="B194" s="341" t="s">
        <v>610</v>
      </c>
      <c r="C194" s="342">
        <v>483290719</v>
      </c>
      <c r="D194" s="342">
        <v>0</v>
      </c>
      <c r="E194" s="342">
        <v>0</v>
      </c>
      <c r="F194" s="342">
        <v>483290719</v>
      </c>
      <c r="G194" s="342">
        <f t="shared" si="2"/>
        <v>0</v>
      </c>
    </row>
    <row r="195" spans="1:7" ht="12.75">
      <c r="A195" s="341">
        <v>34150501</v>
      </c>
      <c r="B195" s="341" t="s">
        <v>17</v>
      </c>
      <c r="C195" s="342">
        <v>18600719</v>
      </c>
      <c r="D195" s="342">
        <v>0</v>
      </c>
      <c r="E195" s="342">
        <v>0</v>
      </c>
      <c r="F195" s="342">
        <v>18600719</v>
      </c>
      <c r="G195" s="342">
        <f aca="true" t="shared" si="3" ref="G195:G258">+F195-C195</f>
        <v>0</v>
      </c>
    </row>
    <row r="196" spans="1:7" ht="12.75">
      <c r="A196" s="341">
        <v>34151001</v>
      </c>
      <c r="B196" s="341" t="s">
        <v>15</v>
      </c>
      <c r="C196" s="342">
        <v>464690000</v>
      </c>
      <c r="D196" s="342">
        <v>0</v>
      </c>
      <c r="E196" s="342">
        <v>0</v>
      </c>
      <c r="F196" s="342">
        <v>464690000</v>
      </c>
      <c r="G196" s="342">
        <f t="shared" si="3"/>
        <v>0</v>
      </c>
    </row>
    <row r="197" spans="1:7" ht="12.75">
      <c r="A197" s="341">
        <v>4000</v>
      </c>
      <c r="B197" s="341" t="s">
        <v>439</v>
      </c>
      <c r="C197" s="342">
        <v>865121533.44</v>
      </c>
      <c r="D197" s="342">
        <v>309964</v>
      </c>
      <c r="E197" s="342">
        <v>75966915.56</v>
      </c>
      <c r="F197" s="342">
        <v>940778485</v>
      </c>
      <c r="G197" s="342">
        <f t="shared" si="3"/>
        <v>75656951.55999994</v>
      </c>
    </row>
    <row r="198" spans="1:7" ht="12.75">
      <c r="A198" s="341">
        <v>4100</v>
      </c>
      <c r="B198" s="341" t="s">
        <v>440</v>
      </c>
      <c r="C198" s="342">
        <v>720693978</v>
      </c>
      <c r="D198" s="342">
        <v>0</v>
      </c>
      <c r="E198" s="342">
        <v>64324155</v>
      </c>
      <c r="F198" s="342">
        <v>785018133</v>
      </c>
      <c r="G198" s="342">
        <f t="shared" si="3"/>
        <v>64324155</v>
      </c>
    </row>
    <row r="199" spans="1:7" ht="12.75">
      <c r="A199" s="341">
        <v>4150</v>
      </c>
      <c r="B199" s="341" t="s">
        <v>441</v>
      </c>
      <c r="C199" s="342">
        <v>720693978</v>
      </c>
      <c r="D199" s="342">
        <v>0</v>
      </c>
      <c r="E199" s="342">
        <v>64324155</v>
      </c>
      <c r="F199" s="342">
        <v>785018133</v>
      </c>
      <c r="G199" s="342">
        <f t="shared" si="3"/>
        <v>64324155</v>
      </c>
    </row>
    <row r="200" spans="1:7" ht="12.75">
      <c r="A200" s="341">
        <v>415010</v>
      </c>
      <c r="B200" s="341" t="s">
        <v>442</v>
      </c>
      <c r="C200" s="342">
        <v>709873696</v>
      </c>
      <c r="D200" s="342">
        <v>0</v>
      </c>
      <c r="E200" s="342">
        <v>63214557</v>
      </c>
      <c r="F200" s="342">
        <v>773088253</v>
      </c>
      <c r="G200" s="342">
        <f t="shared" si="3"/>
        <v>63214557</v>
      </c>
    </row>
    <row r="201" spans="1:7" ht="12.75">
      <c r="A201" s="341">
        <v>4185100101</v>
      </c>
      <c r="B201" s="341" t="s">
        <v>443</v>
      </c>
      <c r="C201" s="342">
        <v>709873696</v>
      </c>
      <c r="D201" s="342">
        <v>0</v>
      </c>
      <c r="E201" s="342">
        <v>63214557</v>
      </c>
      <c r="F201" s="342">
        <v>773088253</v>
      </c>
      <c r="G201" s="342">
        <f t="shared" si="3"/>
        <v>63214557</v>
      </c>
    </row>
    <row r="202" spans="1:7" ht="12.75">
      <c r="A202" s="341">
        <v>415011</v>
      </c>
      <c r="B202" s="341" t="s">
        <v>328</v>
      </c>
      <c r="C202" s="342">
        <v>-416324</v>
      </c>
      <c r="D202" s="342">
        <v>0</v>
      </c>
      <c r="E202" s="342">
        <v>0</v>
      </c>
      <c r="F202" s="342">
        <v>-416324</v>
      </c>
      <c r="G202" s="342">
        <f t="shared" si="3"/>
        <v>0</v>
      </c>
    </row>
    <row r="203" spans="1:7" ht="12.75">
      <c r="A203" s="341">
        <v>4185100301</v>
      </c>
      <c r="B203" s="341" t="s">
        <v>444</v>
      </c>
      <c r="C203" s="342">
        <v>-416324</v>
      </c>
      <c r="D203" s="342">
        <v>0</v>
      </c>
      <c r="E203" s="342">
        <v>0</v>
      </c>
      <c r="F203" s="342">
        <v>-416324</v>
      </c>
      <c r="G203" s="342">
        <f t="shared" si="3"/>
        <v>0</v>
      </c>
    </row>
    <row r="204" spans="1:7" ht="12.75">
      <c r="A204" s="341">
        <v>415040</v>
      </c>
      <c r="B204" s="341" t="s">
        <v>445</v>
      </c>
      <c r="C204" s="342">
        <v>11236606</v>
      </c>
      <c r="D204" s="342">
        <v>0</v>
      </c>
      <c r="E204" s="342">
        <v>1109598</v>
      </c>
      <c r="F204" s="342">
        <v>12346204</v>
      </c>
      <c r="G204" s="342">
        <f t="shared" si="3"/>
        <v>1109598</v>
      </c>
    </row>
    <row r="205" spans="1:7" ht="12.75">
      <c r="A205" s="341">
        <v>4185100201</v>
      </c>
      <c r="B205" s="341" t="s">
        <v>446</v>
      </c>
      <c r="C205" s="342">
        <v>11236606</v>
      </c>
      <c r="D205" s="342">
        <v>0</v>
      </c>
      <c r="E205" s="342">
        <v>1109598</v>
      </c>
      <c r="F205" s="342">
        <v>12346204</v>
      </c>
      <c r="G205" s="342">
        <f t="shared" si="3"/>
        <v>1109598</v>
      </c>
    </row>
    <row r="206" spans="1:7" ht="12.75">
      <c r="A206" s="341">
        <v>4200</v>
      </c>
      <c r="B206" s="341" t="s">
        <v>447</v>
      </c>
      <c r="C206" s="342">
        <v>144427555.44</v>
      </c>
      <c r="D206" s="342">
        <v>309964</v>
      </c>
      <c r="E206" s="342">
        <v>11642760.56</v>
      </c>
      <c r="F206" s="342">
        <v>155760352</v>
      </c>
      <c r="G206" s="342">
        <f t="shared" si="3"/>
        <v>11332796.560000002</v>
      </c>
    </row>
    <row r="207" spans="1:7" ht="12.75">
      <c r="A207" s="341">
        <v>4205</v>
      </c>
      <c r="B207" s="341" t="s">
        <v>448</v>
      </c>
      <c r="C207" s="342">
        <v>23828.58</v>
      </c>
      <c r="D207" s="342">
        <v>0</v>
      </c>
      <c r="E207" s="342">
        <v>0</v>
      </c>
      <c r="F207" s="342">
        <v>23828.58</v>
      </c>
      <c r="G207" s="342">
        <f t="shared" si="3"/>
        <v>0</v>
      </c>
    </row>
    <row r="208" spans="1:7" ht="12.75">
      <c r="A208" s="341">
        <v>420595</v>
      </c>
      <c r="B208" s="341" t="s">
        <v>367</v>
      </c>
      <c r="C208" s="342">
        <v>23828.58</v>
      </c>
      <c r="D208" s="342">
        <v>0</v>
      </c>
      <c r="E208" s="342">
        <v>0</v>
      </c>
      <c r="F208" s="342">
        <v>23828.58</v>
      </c>
      <c r="G208" s="342">
        <f t="shared" si="3"/>
        <v>0</v>
      </c>
    </row>
    <row r="209" spans="1:7" ht="12.75">
      <c r="A209" s="341">
        <v>42505001</v>
      </c>
      <c r="B209" s="341" t="s">
        <v>450</v>
      </c>
      <c r="C209" s="342">
        <v>23828.58</v>
      </c>
      <c r="D209" s="342">
        <v>0</v>
      </c>
      <c r="E209" s="342">
        <v>0</v>
      </c>
      <c r="F209" s="342">
        <v>23828.58</v>
      </c>
      <c r="G209" s="342">
        <f t="shared" si="3"/>
        <v>0</v>
      </c>
    </row>
    <row r="210" spans="1:7" ht="12.75">
      <c r="A210" s="341">
        <v>4210</v>
      </c>
      <c r="B210" s="341" t="s">
        <v>611</v>
      </c>
      <c r="C210" s="342">
        <v>45081076</v>
      </c>
      <c r="D210" s="342">
        <v>0</v>
      </c>
      <c r="E210" s="342">
        <v>8327451</v>
      </c>
      <c r="F210" s="342">
        <v>53408527</v>
      </c>
      <c r="G210" s="342">
        <f t="shared" si="3"/>
        <v>8327451</v>
      </c>
    </row>
    <row r="211" spans="1:7" ht="12.75">
      <c r="A211" s="341">
        <v>421005</v>
      </c>
      <c r="B211" s="341" t="s">
        <v>612</v>
      </c>
      <c r="C211" s="342">
        <v>45081076</v>
      </c>
      <c r="D211" s="342">
        <v>0</v>
      </c>
      <c r="E211" s="342">
        <v>8327451</v>
      </c>
      <c r="F211" s="342">
        <v>53408527</v>
      </c>
      <c r="G211" s="342">
        <f t="shared" si="3"/>
        <v>8327451</v>
      </c>
    </row>
    <row r="212" spans="1:7" ht="12.75">
      <c r="A212" s="341">
        <v>42100502</v>
      </c>
      <c r="B212" s="341" t="s">
        <v>449</v>
      </c>
      <c r="C212" s="342">
        <v>45081076</v>
      </c>
      <c r="D212" s="342">
        <v>0</v>
      </c>
      <c r="E212" s="342">
        <v>8327451</v>
      </c>
      <c r="F212" s="342">
        <v>53408527</v>
      </c>
      <c r="G212" s="342">
        <f t="shared" si="3"/>
        <v>8327451</v>
      </c>
    </row>
    <row r="213" spans="1:7" ht="12.75">
      <c r="A213" s="341">
        <v>4220</v>
      </c>
      <c r="B213" s="341" t="s">
        <v>447</v>
      </c>
      <c r="C213" s="342">
        <v>649673</v>
      </c>
      <c r="D213" s="342">
        <v>309964</v>
      </c>
      <c r="E213" s="342">
        <v>619926</v>
      </c>
      <c r="F213" s="342">
        <v>959635</v>
      </c>
      <c r="G213" s="342">
        <f t="shared" si="3"/>
        <v>309962</v>
      </c>
    </row>
    <row r="214" spans="1:7" ht="12.75">
      <c r="A214" s="341">
        <v>422004</v>
      </c>
      <c r="B214" s="341" t="s">
        <v>613</v>
      </c>
      <c r="C214" s="342">
        <v>335811</v>
      </c>
      <c r="D214" s="342">
        <v>309964</v>
      </c>
      <c r="E214" s="342">
        <v>619926</v>
      </c>
      <c r="F214" s="342">
        <v>645773</v>
      </c>
      <c r="G214" s="342">
        <f t="shared" si="3"/>
        <v>309962</v>
      </c>
    </row>
    <row r="215" spans="1:7" ht="12.75">
      <c r="A215" s="341">
        <v>42100501</v>
      </c>
      <c r="B215" s="341" t="s">
        <v>614</v>
      </c>
      <c r="C215" s="342">
        <v>335811</v>
      </c>
      <c r="D215" s="342">
        <v>309964</v>
      </c>
      <c r="E215" s="342">
        <v>619926</v>
      </c>
      <c r="F215" s="342">
        <v>645773</v>
      </c>
      <c r="G215" s="342">
        <f t="shared" si="3"/>
        <v>309962</v>
      </c>
    </row>
    <row r="216" spans="1:7" ht="12.75">
      <c r="A216" s="341">
        <v>422005</v>
      </c>
      <c r="B216" s="341" t="s">
        <v>615</v>
      </c>
      <c r="C216" s="342">
        <v>313862</v>
      </c>
      <c r="D216" s="342">
        <v>0</v>
      </c>
      <c r="E216" s="342">
        <v>0</v>
      </c>
      <c r="F216" s="342">
        <v>313862</v>
      </c>
      <c r="G216" s="342">
        <f t="shared" si="3"/>
        <v>0</v>
      </c>
    </row>
    <row r="217" spans="1:7" ht="12.75">
      <c r="A217" s="341">
        <v>42151501</v>
      </c>
      <c r="B217" s="341" t="s">
        <v>616</v>
      </c>
      <c r="C217" s="342">
        <v>313862</v>
      </c>
      <c r="D217" s="342">
        <v>0</v>
      </c>
      <c r="E217" s="342">
        <v>0</v>
      </c>
      <c r="F217" s="342">
        <v>313862</v>
      </c>
      <c r="G217" s="342">
        <f t="shared" si="3"/>
        <v>0</v>
      </c>
    </row>
    <row r="218" spans="1:7" ht="12.75">
      <c r="A218" s="341">
        <v>4225</v>
      </c>
      <c r="B218" s="341" t="s">
        <v>451</v>
      </c>
      <c r="C218" s="342">
        <v>98672977.86</v>
      </c>
      <c r="D218" s="342">
        <v>0</v>
      </c>
      <c r="E218" s="342">
        <v>2695383.56</v>
      </c>
      <c r="F218" s="342">
        <v>101368361.42</v>
      </c>
      <c r="G218" s="342">
        <f t="shared" si="3"/>
        <v>2695383.5600000024</v>
      </c>
    </row>
    <row r="219" spans="1:7" ht="12.75">
      <c r="A219" s="341">
        <v>422512</v>
      </c>
      <c r="B219" s="341" t="s">
        <v>452</v>
      </c>
      <c r="C219" s="342">
        <v>98672977.86</v>
      </c>
      <c r="D219" s="342">
        <v>0</v>
      </c>
      <c r="E219" s="342">
        <v>2695383.56</v>
      </c>
      <c r="F219" s="342">
        <v>101368361.42</v>
      </c>
      <c r="G219" s="342">
        <f t="shared" si="3"/>
        <v>2695383.5600000024</v>
      </c>
    </row>
    <row r="220" spans="1:7" ht="12.75">
      <c r="A220" s="341">
        <v>41801601</v>
      </c>
      <c r="B220" s="341" t="s">
        <v>453</v>
      </c>
      <c r="C220" s="342">
        <v>98672977.86</v>
      </c>
      <c r="D220" s="342">
        <v>0</v>
      </c>
      <c r="E220" s="342">
        <v>2695383.56</v>
      </c>
      <c r="F220" s="342">
        <v>101368361.42</v>
      </c>
      <c r="G220" s="342">
        <f t="shared" si="3"/>
        <v>2695383.5600000024</v>
      </c>
    </row>
    <row r="221" spans="1:7" ht="12.75">
      <c r="A221" s="341">
        <v>5000</v>
      </c>
      <c r="B221" s="341" t="s">
        <v>454</v>
      </c>
      <c r="C221" s="342">
        <v>710445487.87</v>
      </c>
      <c r="D221" s="342">
        <v>98486220.48</v>
      </c>
      <c r="E221" s="342">
        <v>8667110</v>
      </c>
      <c r="F221" s="342">
        <v>800264598.35</v>
      </c>
      <c r="G221" s="342">
        <f t="shared" si="3"/>
        <v>89819110.48000002</v>
      </c>
    </row>
    <row r="222" spans="1:7" ht="12.75">
      <c r="A222" s="341">
        <v>5100</v>
      </c>
      <c r="B222" s="341" t="s">
        <v>455</v>
      </c>
      <c r="C222" s="342">
        <v>695667648.52</v>
      </c>
      <c r="D222" s="342">
        <v>91855541.48</v>
      </c>
      <c r="E222" s="342">
        <v>7079100.49</v>
      </c>
      <c r="F222" s="342">
        <v>780444089.51</v>
      </c>
      <c r="G222" s="342">
        <f t="shared" si="3"/>
        <v>84776440.99000001</v>
      </c>
    </row>
    <row r="223" spans="1:7" ht="12.75">
      <c r="A223" s="341">
        <v>5105</v>
      </c>
      <c r="B223" s="341" t="s">
        <v>456</v>
      </c>
      <c r="C223" s="342">
        <v>190971225</v>
      </c>
      <c r="D223" s="342">
        <v>22404234</v>
      </c>
      <c r="E223" s="342">
        <v>1</v>
      </c>
      <c r="F223" s="342">
        <v>213375458</v>
      </c>
      <c r="G223" s="342">
        <f t="shared" si="3"/>
        <v>22404233</v>
      </c>
    </row>
    <row r="224" spans="1:7" ht="12.75">
      <c r="A224" s="341">
        <v>510503</v>
      </c>
      <c r="B224" s="341" t="s">
        <v>457</v>
      </c>
      <c r="C224" s="342">
        <v>132575499</v>
      </c>
      <c r="D224" s="342">
        <v>9035324</v>
      </c>
      <c r="E224" s="342">
        <v>0</v>
      </c>
      <c r="F224" s="342">
        <v>141610823</v>
      </c>
      <c r="G224" s="342">
        <f t="shared" si="3"/>
        <v>9035324</v>
      </c>
    </row>
    <row r="225" spans="1:7" ht="12.75">
      <c r="A225" s="341">
        <v>51050601</v>
      </c>
      <c r="B225" s="341" t="s">
        <v>458</v>
      </c>
      <c r="C225" s="342">
        <v>132575499</v>
      </c>
      <c r="D225" s="342">
        <v>9035324</v>
      </c>
      <c r="E225" s="342">
        <v>0</v>
      </c>
      <c r="F225" s="342">
        <v>141610823</v>
      </c>
      <c r="G225" s="342">
        <f t="shared" si="3"/>
        <v>9035324</v>
      </c>
    </row>
    <row r="226" spans="1:7" ht="12.75">
      <c r="A226" s="341">
        <v>510509</v>
      </c>
      <c r="B226" s="341" t="s">
        <v>459</v>
      </c>
      <c r="C226" s="342">
        <v>4052704</v>
      </c>
      <c r="D226" s="342">
        <v>284628</v>
      </c>
      <c r="E226" s="342">
        <v>0</v>
      </c>
      <c r="F226" s="342">
        <v>4337332</v>
      </c>
      <c r="G226" s="342">
        <f t="shared" si="3"/>
        <v>284628</v>
      </c>
    </row>
    <row r="227" spans="1:7" ht="12.75">
      <c r="A227" s="341">
        <v>51052701</v>
      </c>
      <c r="B227" s="341" t="s">
        <v>460</v>
      </c>
      <c r="C227" s="342">
        <v>4052704</v>
      </c>
      <c r="D227" s="342">
        <v>284628</v>
      </c>
      <c r="E227" s="342">
        <v>0</v>
      </c>
      <c r="F227" s="342">
        <v>4337332</v>
      </c>
      <c r="G227" s="342">
        <f t="shared" si="3"/>
        <v>284628</v>
      </c>
    </row>
    <row r="228" spans="1:7" ht="12.75">
      <c r="A228" s="341">
        <v>510510</v>
      </c>
      <c r="B228" s="341" t="s">
        <v>461</v>
      </c>
      <c r="C228" s="342">
        <v>11645271</v>
      </c>
      <c r="D228" s="342">
        <v>1063751</v>
      </c>
      <c r="E228" s="342">
        <v>0</v>
      </c>
      <c r="F228" s="342">
        <v>12709022</v>
      </c>
      <c r="G228" s="342">
        <f t="shared" si="3"/>
        <v>1063751</v>
      </c>
    </row>
    <row r="229" spans="1:7" ht="12.75">
      <c r="A229" s="341">
        <v>51053001</v>
      </c>
      <c r="B229" s="341" t="s">
        <v>462</v>
      </c>
      <c r="C229" s="342">
        <v>11645271</v>
      </c>
      <c r="D229" s="342">
        <v>1063751</v>
      </c>
      <c r="E229" s="342">
        <v>0</v>
      </c>
      <c r="F229" s="342">
        <v>12709022</v>
      </c>
      <c r="G229" s="342">
        <f t="shared" si="3"/>
        <v>1063751</v>
      </c>
    </row>
    <row r="230" spans="1:7" ht="12.75">
      <c r="A230" s="341">
        <v>510511</v>
      </c>
      <c r="B230" s="341" t="s">
        <v>463</v>
      </c>
      <c r="C230" s="342">
        <v>1396990</v>
      </c>
      <c r="D230" s="342">
        <v>128093</v>
      </c>
      <c r="E230" s="342">
        <v>0</v>
      </c>
      <c r="F230" s="342">
        <v>1525083</v>
      </c>
      <c r="G230" s="342">
        <f t="shared" si="3"/>
        <v>128093</v>
      </c>
    </row>
    <row r="231" spans="1:7" ht="12.75">
      <c r="A231" s="341">
        <v>51053301</v>
      </c>
      <c r="B231" s="341" t="s">
        <v>464</v>
      </c>
      <c r="C231" s="342">
        <v>1396990</v>
      </c>
      <c r="D231" s="342">
        <v>128093</v>
      </c>
      <c r="E231" s="342">
        <v>0</v>
      </c>
      <c r="F231" s="342">
        <v>1525083</v>
      </c>
      <c r="G231" s="342">
        <f t="shared" si="3"/>
        <v>128093</v>
      </c>
    </row>
    <row r="232" spans="1:7" ht="12.75">
      <c r="A232" s="341">
        <v>510512</v>
      </c>
      <c r="B232" s="341" t="s">
        <v>465</v>
      </c>
      <c r="C232" s="342">
        <v>11647816</v>
      </c>
      <c r="D232" s="342">
        <v>1061207</v>
      </c>
      <c r="E232" s="342">
        <v>1</v>
      </c>
      <c r="F232" s="342">
        <v>12709022</v>
      </c>
      <c r="G232" s="342">
        <f t="shared" si="3"/>
        <v>1061206</v>
      </c>
    </row>
    <row r="233" spans="1:7" ht="12.75">
      <c r="A233" s="341">
        <v>51053601</v>
      </c>
      <c r="B233" s="341" t="s">
        <v>466</v>
      </c>
      <c r="C233" s="342">
        <v>11647816</v>
      </c>
      <c r="D233" s="342">
        <v>1061207</v>
      </c>
      <c r="E233" s="342">
        <v>1</v>
      </c>
      <c r="F233" s="342">
        <v>12709022</v>
      </c>
      <c r="G233" s="342">
        <f t="shared" si="3"/>
        <v>1061206</v>
      </c>
    </row>
    <row r="234" spans="1:7" ht="12.75">
      <c r="A234" s="341">
        <v>510516</v>
      </c>
      <c r="B234" s="341" t="s">
        <v>467</v>
      </c>
      <c r="C234" s="342">
        <v>5638050</v>
      </c>
      <c r="D234" s="342">
        <v>6700208</v>
      </c>
      <c r="E234" s="342">
        <v>0</v>
      </c>
      <c r="F234" s="342">
        <v>12338258</v>
      </c>
      <c r="G234" s="342">
        <f t="shared" si="3"/>
        <v>6700208</v>
      </c>
    </row>
    <row r="235" spans="1:7" ht="12.75">
      <c r="A235" s="341">
        <v>51053901</v>
      </c>
      <c r="B235" s="341" t="s">
        <v>409</v>
      </c>
      <c r="C235" s="342">
        <v>5638050</v>
      </c>
      <c r="D235" s="342">
        <v>6700208</v>
      </c>
      <c r="E235" s="342">
        <v>0</v>
      </c>
      <c r="F235" s="342">
        <v>12338258</v>
      </c>
      <c r="G235" s="342">
        <f t="shared" si="3"/>
        <v>6700208</v>
      </c>
    </row>
    <row r="236" spans="1:7" ht="12.75">
      <c r="A236" s="341">
        <v>510521</v>
      </c>
      <c r="B236" s="341" t="s">
        <v>468</v>
      </c>
      <c r="C236" s="342">
        <v>3399400</v>
      </c>
      <c r="D236" s="342">
        <v>0</v>
      </c>
      <c r="E236" s="342">
        <v>0</v>
      </c>
      <c r="F236" s="342">
        <v>3399400</v>
      </c>
      <c r="G236" s="342">
        <f t="shared" si="3"/>
        <v>0</v>
      </c>
    </row>
    <row r="237" spans="1:7" ht="12.75">
      <c r="A237" s="341">
        <v>51055101</v>
      </c>
      <c r="B237" s="341" t="s">
        <v>469</v>
      </c>
      <c r="C237" s="342">
        <v>3399400</v>
      </c>
      <c r="D237" s="342">
        <v>0</v>
      </c>
      <c r="E237" s="342">
        <v>0</v>
      </c>
      <c r="F237" s="342">
        <v>3399400</v>
      </c>
      <c r="G237" s="342">
        <f t="shared" si="3"/>
        <v>0</v>
      </c>
    </row>
    <row r="238" spans="1:7" ht="12.75">
      <c r="A238" s="341">
        <v>510523</v>
      </c>
      <c r="B238" s="341" t="s">
        <v>470</v>
      </c>
      <c r="C238" s="342">
        <v>2121</v>
      </c>
      <c r="D238" s="342">
        <v>864</v>
      </c>
      <c r="E238" s="342">
        <v>0</v>
      </c>
      <c r="F238" s="342">
        <v>2985</v>
      </c>
      <c r="G238" s="342">
        <f t="shared" si="3"/>
        <v>864</v>
      </c>
    </row>
    <row r="239" spans="1:7" ht="12.75">
      <c r="A239" s="341">
        <v>51056901</v>
      </c>
      <c r="B239" s="341" t="s">
        <v>471</v>
      </c>
      <c r="C239" s="342">
        <v>2121</v>
      </c>
      <c r="D239" s="342">
        <v>864</v>
      </c>
      <c r="E239" s="342">
        <v>0</v>
      </c>
      <c r="F239" s="342">
        <v>2985</v>
      </c>
      <c r="G239" s="342">
        <f t="shared" si="3"/>
        <v>864</v>
      </c>
    </row>
    <row r="240" spans="1:7" ht="12.75">
      <c r="A240" s="341">
        <v>510524</v>
      </c>
      <c r="B240" s="341" t="s">
        <v>472</v>
      </c>
      <c r="C240" s="342">
        <v>14542074</v>
      </c>
      <c r="D240" s="342">
        <v>1292212</v>
      </c>
      <c r="E240" s="342">
        <v>0</v>
      </c>
      <c r="F240" s="342">
        <v>15834286</v>
      </c>
      <c r="G240" s="342">
        <f t="shared" si="3"/>
        <v>1292212</v>
      </c>
    </row>
    <row r="241" spans="1:7" ht="12.75">
      <c r="A241" s="341">
        <v>51057001</v>
      </c>
      <c r="B241" s="341" t="s">
        <v>473</v>
      </c>
      <c r="C241" s="342">
        <v>14542074</v>
      </c>
      <c r="D241" s="342">
        <v>1292212</v>
      </c>
      <c r="E241" s="342">
        <v>0</v>
      </c>
      <c r="F241" s="342">
        <v>15834286</v>
      </c>
      <c r="G241" s="342">
        <f t="shared" si="3"/>
        <v>1292212</v>
      </c>
    </row>
    <row r="242" spans="1:7" ht="12.75">
      <c r="A242" s="341">
        <v>510525</v>
      </c>
      <c r="B242" s="341" t="s">
        <v>474</v>
      </c>
      <c r="C242" s="342">
        <v>691900</v>
      </c>
      <c r="D242" s="342">
        <v>47400</v>
      </c>
      <c r="E242" s="342">
        <v>0</v>
      </c>
      <c r="F242" s="342">
        <v>739300</v>
      </c>
      <c r="G242" s="342">
        <f t="shared" si="3"/>
        <v>47400</v>
      </c>
    </row>
    <row r="243" spans="1:7" ht="12.75">
      <c r="A243" s="341">
        <v>51057101</v>
      </c>
      <c r="B243" s="341" t="s">
        <v>617</v>
      </c>
      <c r="C243" s="342">
        <v>691900</v>
      </c>
      <c r="D243" s="342">
        <v>47400</v>
      </c>
      <c r="E243" s="342">
        <v>0</v>
      </c>
      <c r="F243" s="342">
        <v>739300</v>
      </c>
      <c r="G243" s="342">
        <f t="shared" si="3"/>
        <v>47400</v>
      </c>
    </row>
    <row r="244" spans="1:7" ht="12.75">
      <c r="A244" s="341">
        <v>510526</v>
      </c>
      <c r="B244" s="341" t="s">
        <v>475</v>
      </c>
      <c r="C244" s="342">
        <v>5379400</v>
      </c>
      <c r="D244" s="342">
        <v>493700</v>
      </c>
      <c r="E244" s="342">
        <v>0</v>
      </c>
      <c r="F244" s="342">
        <v>5873100</v>
      </c>
      <c r="G244" s="342">
        <f t="shared" si="3"/>
        <v>493700</v>
      </c>
    </row>
    <row r="245" spans="1:7" ht="12.75">
      <c r="A245" s="341">
        <v>51057201</v>
      </c>
      <c r="B245" s="341" t="s">
        <v>476</v>
      </c>
      <c r="C245" s="342">
        <v>5379400</v>
      </c>
      <c r="D245" s="342">
        <v>493700</v>
      </c>
      <c r="E245" s="342">
        <v>0</v>
      </c>
      <c r="F245" s="342">
        <v>5873100</v>
      </c>
      <c r="G245" s="342">
        <f t="shared" si="3"/>
        <v>493700</v>
      </c>
    </row>
    <row r="246" spans="1:7" ht="12.75">
      <c r="A246" s="341">
        <v>510527</v>
      </c>
      <c r="B246" s="341" t="s">
        <v>477</v>
      </c>
      <c r="C246" s="342">
        <v>0</v>
      </c>
      <c r="D246" s="342">
        <v>2296847</v>
      </c>
      <c r="E246" s="342">
        <v>0</v>
      </c>
      <c r="F246" s="342">
        <v>2296847</v>
      </c>
      <c r="G246" s="342">
        <f t="shared" si="3"/>
        <v>2296847</v>
      </c>
    </row>
    <row r="247" spans="1:7" ht="12.75">
      <c r="A247" s="341">
        <v>51057501</v>
      </c>
      <c r="B247" s="341" t="s">
        <v>478</v>
      </c>
      <c r="C247" s="342">
        <v>0</v>
      </c>
      <c r="D247" s="342">
        <v>2296847</v>
      </c>
      <c r="E247" s="342">
        <v>0</v>
      </c>
      <c r="F247" s="342">
        <v>2296847</v>
      </c>
      <c r="G247" s="342">
        <f t="shared" si="3"/>
        <v>2296847</v>
      </c>
    </row>
    <row r="248" spans="1:7" ht="12.75">
      <c r="A248" s="341">
        <v>5110</v>
      </c>
      <c r="B248" s="341" t="s">
        <v>479</v>
      </c>
      <c r="C248" s="342">
        <v>419751116.47</v>
      </c>
      <c r="D248" s="342">
        <v>23364594</v>
      </c>
      <c r="E248" s="342">
        <v>209594</v>
      </c>
      <c r="F248" s="342">
        <v>442906116.47</v>
      </c>
      <c r="G248" s="342">
        <f t="shared" si="3"/>
        <v>23155000</v>
      </c>
    </row>
    <row r="249" spans="1:7" ht="12.75">
      <c r="A249" s="341">
        <v>511001</v>
      </c>
      <c r="B249" s="341" t="s">
        <v>369</v>
      </c>
      <c r="C249" s="342">
        <v>31960393.1</v>
      </c>
      <c r="D249" s="342">
        <v>3493655</v>
      </c>
      <c r="E249" s="342">
        <v>0</v>
      </c>
      <c r="F249" s="342">
        <v>35454048.1</v>
      </c>
      <c r="G249" s="342">
        <f t="shared" si="3"/>
        <v>3493655</v>
      </c>
    </row>
    <row r="250" spans="1:7" ht="12.75">
      <c r="A250" s="341">
        <v>51100101</v>
      </c>
      <c r="B250" s="341" t="s">
        <v>480</v>
      </c>
      <c r="C250" s="342">
        <v>14107750</v>
      </c>
      <c r="D250" s="342">
        <v>1289750</v>
      </c>
      <c r="E250" s="342">
        <v>0</v>
      </c>
      <c r="F250" s="342">
        <v>15397500</v>
      </c>
      <c r="G250" s="342">
        <f t="shared" si="3"/>
        <v>1289750</v>
      </c>
    </row>
    <row r="251" spans="1:7" ht="12.75">
      <c r="A251" s="341">
        <v>51100102</v>
      </c>
      <c r="B251" s="341" t="s">
        <v>618</v>
      </c>
      <c r="C251" s="342">
        <v>10590</v>
      </c>
      <c r="D251" s="342">
        <v>0</v>
      </c>
      <c r="E251" s="342">
        <v>0</v>
      </c>
      <c r="F251" s="342">
        <v>10590</v>
      </c>
      <c r="G251" s="342">
        <f t="shared" si="3"/>
        <v>0</v>
      </c>
    </row>
    <row r="252" spans="1:7" ht="12.75">
      <c r="A252" s="341">
        <v>51100103</v>
      </c>
      <c r="B252" s="341" t="s">
        <v>481</v>
      </c>
      <c r="C252" s="342">
        <v>8713780</v>
      </c>
      <c r="D252" s="342">
        <v>821100</v>
      </c>
      <c r="E252" s="342">
        <v>0</v>
      </c>
      <c r="F252" s="342">
        <v>9534880</v>
      </c>
      <c r="G252" s="342">
        <f t="shared" si="3"/>
        <v>821100</v>
      </c>
    </row>
    <row r="253" spans="1:7" ht="12.75">
      <c r="A253" s="341">
        <v>51100104</v>
      </c>
      <c r="B253" s="341" t="s">
        <v>482</v>
      </c>
      <c r="C253" s="342">
        <v>30000</v>
      </c>
      <c r="D253" s="342">
        <v>0</v>
      </c>
      <c r="E253" s="342">
        <v>0</v>
      </c>
      <c r="F253" s="342">
        <v>30000</v>
      </c>
      <c r="G253" s="342">
        <f t="shared" si="3"/>
        <v>0</v>
      </c>
    </row>
    <row r="254" spans="1:7" ht="12.75">
      <c r="A254" s="341">
        <v>51100105</v>
      </c>
      <c r="B254" s="341" t="s">
        <v>483</v>
      </c>
      <c r="C254" s="342">
        <v>5198273.1</v>
      </c>
      <c r="D254" s="342">
        <v>1022805</v>
      </c>
      <c r="E254" s="342">
        <v>0</v>
      </c>
      <c r="F254" s="342">
        <v>6221078.1</v>
      </c>
      <c r="G254" s="342">
        <f t="shared" si="3"/>
        <v>1022805</v>
      </c>
    </row>
    <row r="255" spans="1:7" ht="12.75">
      <c r="A255" s="341">
        <v>51100106</v>
      </c>
      <c r="B255" s="341" t="s">
        <v>484</v>
      </c>
      <c r="C255" s="342">
        <v>3900000</v>
      </c>
      <c r="D255" s="342">
        <v>360000</v>
      </c>
      <c r="E255" s="342">
        <v>0</v>
      </c>
      <c r="F255" s="342">
        <v>4260000</v>
      </c>
      <c r="G255" s="342">
        <f t="shared" si="3"/>
        <v>360000</v>
      </c>
    </row>
    <row r="256" spans="1:7" ht="12.75">
      <c r="A256" s="341">
        <v>511002</v>
      </c>
      <c r="B256" s="341" t="s">
        <v>485</v>
      </c>
      <c r="C256" s="342">
        <v>13753700</v>
      </c>
      <c r="D256" s="342">
        <v>4681300</v>
      </c>
      <c r="E256" s="342">
        <v>0</v>
      </c>
      <c r="F256" s="342">
        <v>18435000</v>
      </c>
      <c r="G256" s="342">
        <f t="shared" si="3"/>
        <v>4681300</v>
      </c>
    </row>
    <row r="257" spans="1:7" ht="12.75">
      <c r="A257" s="341">
        <v>51100201</v>
      </c>
      <c r="B257" s="341" t="s">
        <v>486</v>
      </c>
      <c r="C257" s="342">
        <v>6490000</v>
      </c>
      <c r="D257" s="342">
        <v>0</v>
      </c>
      <c r="E257" s="342">
        <v>0</v>
      </c>
      <c r="F257" s="342">
        <v>6490000</v>
      </c>
      <c r="G257" s="342">
        <f t="shared" si="3"/>
        <v>0</v>
      </c>
    </row>
    <row r="258" spans="1:7" ht="12.75">
      <c r="A258" s="341">
        <v>51100202</v>
      </c>
      <c r="B258" s="341" t="s">
        <v>487</v>
      </c>
      <c r="C258" s="342">
        <v>7263700</v>
      </c>
      <c r="D258" s="342">
        <v>4681300</v>
      </c>
      <c r="E258" s="342">
        <v>0</v>
      </c>
      <c r="F258" s="342">
        <v>11945000</v>
      </c>
      <c r="G258" s="342">
        <f t="shared" si="3"/>
        <v>4681300</v>
      </c>
    </row>
    <row r="259" spans="1:7" ht="12.75">
      <c r="A259" s="341">
        <v>511005</v>
      </c>
      <c r="B259" s="341" t="s">
        <v>488</v>
      </c>
      <c r="C259" s="342">
        <v>454508</v>
      </c>
      <c r="D259" s="342">
        <v>3394926</v>
      </c>
      <c r="E259" s="342">
        <v>3994</v>
      </c>
      <c r="F259" s="342">
        <v>3845440</v>
      </c>
      <c r="G259" s="342">
        <f aca="true" t="shared" si="4" ref="G259:G322">+F259-C259</f>
        <v>3390932</v>
      </c>
    </row>
    <row r="260" spans="1:7" ht="12.75">
      <c r="A260" s="341">
        <v>51100801</v>
      </c>
      <c r="B260" s="341" t="s">
        <v>489</v>
      </c>
      <c r="C260" s="342">
        <v>0</v>
      </c>
      <c r="D260" s="342">
        <v>1076950</v>
      </c>
      <c r="E260" s="342">
        <v>0</v>
      </c>
      <c r="F260" s="342">
        <v>1076950</v>
      </c>
      <c r="G260" s="342">
        <f t="shared" si="4"/>
        <v>1076950</v>
      </c>
    </row>
    <row r="261" spans="1:7" ht="12.75">
      <c r="A261" s="341">
        <v>51100803</v>
      </c>
      <c r="B261" s="341" t="s">
        <v>490</v>
      </c>
      <c r="C261" s="342">
        <v>0</v>
      </c>
      <c r="D261" s="342">
        <v>2296640</v>
      </c>
      <c r="E261" s="342">
        <v>0</v>
      </c>
      <c r="F261" s="342">
        <v>2296640</v>
      </c>
      <c r="G261" s="342">
        <f t="shared" si="4"/>
        <v>2296640</v>
      </c>
    </row>
    <row r="262" spans="1:7" ht="12.75">
      <c r="A262" s="341">
        <v>51100806</v>
      </c>
      <c r="B262" s="341" t="s">
        <v>619</v>
      </c>
      <c r="C262" s="342">
        <v>454508</v>
      </c>
      <c r="D262" s="342">
        <v>21336</v>
      </c>
      <c r="E262" s="342">
        <v>3994</v>
      </c>
      <c r="F262" s="342">
        <v>471850</v>
      </c>
      <c r="G262" s="342">
        <f t="shared" si="4"/>
        <v>17342</v>
      </c>
    </row>
    <row r="263" spans="1:7" ht="12.75">
      <c r="A263" s="341">
        <v>511006</v>
      </c>
      <c r="B263" s="341" t="s">
        <v>491</v>
      </c>
      <c r="C263" s="342">
        <v>2242510</v>
      </c>
      <c r="D263" s="342">
        <v>0</v>
      </c>
      <c r="E263" s="342">
        <v>0</v>
      </c>
      <c r="F263" s="342">
        <v>2242510</v>
      </c>
      <c r="G263" s="342">
        <f t="shared" si="4"/>
        <v>0</v>
      </c>
    </row>
    <row r="264" spans="1:7" ht="12.75">
      <c r="A264" s="341">
        <v>51101001</v>
      </c>
      <c r="B264" s="341" t="s">
        <v>492</v>
      </c>
      <c r="C264" s="342">
        <v>1116380</v>
      </c>
      <c r="D264" s="342">
        <v>0</v>
      </c>
      <c r="E264" s="342">
        <v>0</v>
      </c>
      <c r="F264" s="342">
        <v>1116380</v>
      </c>
      <c r="G264" s="342">
        <f t="shared" si="4"/>
        <v>0</v>
      </c>
    </row>
    <row r="265" spans="1:7" ht="12.75">
      <c r="A265" s="341">
        <v>51101002</v>
      </c>
      <c r="B265" s="341" t="s">
        <v>493</v>
      </c>
      <c r="C265" s="342">
        <v>1126130</v>
      </c>
      <c r="D265" s="342">
        <v>0</v>
      </c>
      <c r="E265" s="342">
        <v>0</v>
      </c>
      <c r="F265" s="342">
        <v>1126130</v>
      </c>
      <c r="G265" s="342">
        <f t="shared" si="4"/>
        <v>0</v>
      </c>
    </row>
    <row r="266" spans="1:7" ht="12.75">
      <c r="A266" s="341">
        <v>511009</v>
      </c>
      <c r="B266" s="341" t="s">
        <v>494</v>
      </c>
      <c r="C266" s="342">
        <v>548000</v>
      </c>
      <c r="D266" s="342">
        <v>2677000</v>
      </c>
      <c r="E266" s="342">
        <v>0</v>
      </c>
      <c r="F266" s="342">
        <v>3225000</v>
      </c>
      <c r="G266" s="342">
        <f t="shared" si="4"/>
        <v>2677000</v>
      </c>
    </row>
    <row r="267" spans="1:7" ht="12.75">
      <c r="A267" s="341">
        <v>51101601</v>
      </c>
      <c r="B267" s="341" t="s">
        <v>495</v>
      </c>
      <c r="C267" s="342">
        <v>548000</v>
      </c>
      <c r="D267" s="342">
        <v>2677000</v>
      </c>
      <c r="E267" s="342">
        <v>0</v>
      </c>
      <c r="F267" s="342">
        <v>3225000</v>
      </c>
      <c r="G267" s="342">
        <f t="shared" si="4"/>
        <v>2677000</v>
      </c>
    </row>
    <row r="268" spans="1:7" ht="12.75">
      <c r="A268" s="341">
        <v>511010</v>
      </c>
      <c r="B268" s="341" t="s">
        <v>496</v>
      </c>
      <c r="C268" s="342">
        <v>1566619</v>
      </c>
      <c r="D268" s="342">
        <v>0</v>
      </c>
      <c r="E268" s="342">
        <v>0</v>
      </c>
      <c r="F268" s="342">
        <v>1566619</v>
      </c>
      <c r="G268" s="342">
        <f t="shared" si="4"/>
        <v>0</v>
      </c>
    </row>
    <row r="269" spans="1:7" ht="12.75">
      <c r="A269" s="341">
        <v>51101801</v>
      </c>
      <c r="B269" s="341" t="s">
        <v>497</v>
      </c>
      <c r="C269" s="342">
        <v>1566619</v>
      </c>
      <c r="D269" s="342">
        <v>0</v>
      </c>
      <c r="E269" s="342">
        <v>0</v>
      </c>
      <c r="F269" s="342">
        <v>1566619</v>
      </c>
      <c r="G269" s="342">
        <f t="shared" si="4"/>
        <v>0</v>
      </c>
    </row>
    <row r="270" spans="1:7" ht="12.75">
      <c r="A270" s="341">
        <v>511011</v>
      </c>
      <c r="B270" s="341" t="s">
        <v>498</v>
      </c>
      <c r="C270" s="342">
        <v>3112061</v>
      </c>
      <c r="D270" s="342">
        <v>34050</v>
      </c>
      <c r="E270" s="342">
        <v>0</v>
      </c>
      <c r="F270" s="342">
        <v>3146111</v>
      </c>
      <c r="G270" s="342">
        <f t="shared" si="4"/>
        <v>34050</v>
      </c>
    </row>
    <row r="271" spans="1:7" ht="12.75">
      <c r="A271" s="341">
        <v>51102001</v>
      </c>
      <c r="B271" s="341" t="s">
        <v>499</v>
      </c>
      <c r="C271" s="342">
        <v>3112061</v>
      </c>
      <c r="D271" s="342">
        <v>34050</v>
      </c>
      <c r="E271" s="342">
        <v>0</v>
      </c>
      <c r="F271" s="342">
        <v>3146111</v>
      </c>
      <c r="G271" s="342">
        <f t="shared" si="4"/>
        <v>34050</v>
      </c>
    </row>
    <row r="272" spans="1:7" ht="12.75">
      <c r="A272" s="341">
        <v>511012</v>
      </c>
      <c r="B272" s="341" t="s">
        <v>500</v>
      </c>
      <c r="C272" s="342">
        <v>7984642.25</v>
      </c>
      <c r="D272" s="342">
        <v>607040</v>
      </c>
      <c r="E272" s="342">
        <v>0</v>
      </c>
      <c r="F272" s="342">
        <v>8591682.25</v>
      </c>
      <c r="G272" s="342">
        <f t="shared" si="4"/>
        <v>607040</v>
      </c>
    </row>
    <row r="273" spans="1:7" ht="12.75">
      <c r="A273" s="341">
        <v>51102201</v>
      </c>
      <c r="B273" s="341" t="s">
        <v>501</v>
      </c>
      <c r="C273" s="342">
        <v>754830</v>
      </c>
      <c r="D273" s="342">
        <v>0</v>
      </c>
      <c r="E273" s="342">
        <v>0</v>
      </c>
      <c r="F273" s="342">
        <v>754830</v>
      </c>
      <c r="G273" s="342">
        <f t="shared" si="4"/>
        <v>0</v>
      </c>
    </row>
    <row r="274" spans="1:7" ht="12.75">
      <c r="A274" s="341">
        <v>51102202</v>
      </c>
      <c r="B274" s="341" t="s">
        <v>502</v>
      </c>
      <c r="C274" s="342">
        <v>3139520</v>
      </c>
      <c r="D274" s="342">
        <v>322560</v>
      </c>
      <c r="E274" s="342">
        <v>0</v>
      </c>
      <c r="F274" s="342">
        <v>3462080</v>
      </c>
      <c r="G274" s="342">
        <f t="shared" si="4"/>
        <v>322560</v>
      </c>
    </row>
    <row r="275" spans="1:7" ht="12.75">
      <c r="A275" s="341">
        <v>51102203</v>
      </c>
      <c r="B275" s="341" t="s">
        <v>503</v>
      </c>
      <c r="C275" s="342">
        <v>3404362.25</v>
      </c>
      <c r="D275" s="342">
        <v>241050</v>
      </c>
      <c r="E275" s="342">
        <v>0</v>
      </c>
      <c r="F275" s="342">
        <v>3645412.25</v>
      </c>
      <c r="G275" s="342">
        <f t="shared" si="4"/>
        <v>241050</v>
      </c>
    </row>
    <row r="276" spans="1:7" ht="12.75">
      <c r="A276" s="341">
        <v>51102204</v>
      </c>
      <c r="B276" s="341" t="s">
        <v>504</v>
      </c>
      <c r="C276" s="342">
        <v>493680</v>
      </c>
      <c r="D276" s="342">
        <v>0</v>
      </c>
      <c r="E276" s="342">
        <v>0</v>
      </c>
      <c r="F276" s="342">
        <v>493680</v>
      </c>
      <c r="G276" s="342">
        <f t="shared" si="4"/>
        <v>0</v>
      </c>
    </row>
    <row r="277" spans="1:7" ht="12.75">
      <c r="A277" s="341">
        <v>51102206</v>
      </c>
      <c r="B277" s="341" t="s">
        <v>505</v>
      </c>
      <c r="C277" s="342">
        <v>192250</v>
      </c>
      <c r="D277" s="342">
        <v>43430</v>
      </c>
      <c r="E277" s="342">
        <v>0</v>
      </c>
      <c r="F277" s="342">
        <v>235680</v>
      </c>
      <c r="G277" s="342">
        <f t="shared" si="4"/>
        <v>43430</v>
      </c>
    </row>
    <row r="278" spans="1:7" ht="12.75">
      <c r="A278" s="341">
        <v>511013</v>
      </c>
      <c r="B278" s="341" t="s">
        <v>506</v>
      </c>
      <c r="C278" s="342">
        <v>668800</v>
      </c>
      <c r="D278" s="342">
        <v>47300</v>
      </c>
      <c r="E278" s="342">
        <v>0</v>
      </c>
      <c r="F278" s="342">
        <v>716100</v>
      </c>
      <c r="G278" s="342">
        <f t="shared" si="4"/>
        <v>47300</v>
      </c>
    </row>
    <row r="279" spans="1:7" ht="12.75">
      <c r="A279" s="341">
        <v>51102401</v>
      </c>
      <c r="B279" s="341" t="s">
        <v>507</v>
      </c>
      <c r="C279" s="342">
        <v>668800</v>
      </c>
      <c r="D279" s="342">
        <v>47300</v>
      </c>
      <c r="E279" s="342">
        <v>0</v>
      </c>
      <c r="F279" s="342">
        <v>716100</v>
      </c>
      <c r="G279" s="342">
        <f t="shared" si="4"/>
        <v>47300</v>
      </c>
    </row>
    <row r="280" spans="1:7" ht="12.75">
      <c r="A280" s="341">
        <v>511014</v>
      </c>
      <c r="B280" s="341" t="s">
        <v>508</v>
      </c>
      <c r="C280" s="342">
        <v>1112550</v>
      </c>
      <c r="D280" s="342">
        <v>38200</v>
      </c>
      <c r="E280" s="342">
        <v>0</v>
      </c>
      <c r="F280" s="342">
        <v>1150750</v>
      </c>
      <c r="G280" s="342">
        <f t="shared" si="4"/>
        <v>38200</v>
      </c>
    </row>
    <row r="281" spans="1:7" ht="12.75">
      <c r="A281" s="341">
        <v>51102601</v>
      </c>
      <c r="B281" s="341" t="s">
        <v>509</v>
      </c>
      <c r="C281" s="342">
        <v>1112550</v>
      </c>
      <c r="D281" s="342">
        <v>38200</v>
      </c>
      <c r="E281" s="342">
        <v>0</v>
      </c>
      <c r="F281" s="342">
        <v>1150750</v>
      </c>
      <c r="G281" s="342">
        <f t="shared" si="4"/>
        <v>38200</v>
      </c>
    </row>
    <row r="282" spans="1:7" ht="12.75">
      <c r="A282" s="341">
        <v>511015</v>
      </c>
      <c r="B282" s="341" t="s">
        <v>510</v>
      </c>
      <c r="C282" s="342">
        <v>1797089</v>
      </c>
      <c r="D282" s="342">
        <v>161130</v>
      </c>
      <c r="E282" s="342">
        <v>0</v>
      </c>
      <c r="F282" s="342">
        <v>1958219</v>
      </c>
      <c r="G282" s="342">
        <f t="shared" si="4"/>
        <v>161130</v>
      </c>
    </row>
    <row r="283" spans="1:7" ht="12.75">
      <c r="A283" s="341">
        <v>51102801</v>
      </c>
      <c r="B283" s="341" t="s">
        <v>511</v>
      </c>
      <c r="C283" s="342">
        <v>1797089</v>
      </c>
      <c r="D283" s="342">
        <v>161130</v>
      </c>
      <c r="E283" s="342">
        <v>0</v>
      </c>
      <c r="F283" s="342">
        <v>1958219</v>
      </c>
      <c r="G283" s="342">
        <f t="shared" si="4"/>
        <v>161130</v>
      </c>
    </row>
    <row r="284" spans="1:7" ht="12.75">
      <c r="A284" s="341">
        <v>511016</v>
      </c>
      <c r="B284" s="341" t="s">
        <v>512</v>
      </c>
      <c r="C284" s="342">
        <v>43800</v>
      </c>
      <c r="D284" s="342">
        <v>0</v>
      </c>
      <c r="E284" s="342">
        <v>0</v>
      </c>
      <c r="F284" s="342">
        <v>43800</v>
      </c>
      <c r="G284" s="342">
        <f t="shared" si="4"/>
        <v>0</v>
      </c>
    </row>
    <row r="285" spans="1:7" ht="12.75">
      <c r="A285" s="341">
        <v>51103001</v>
      </c>
      <c r="B285" s="341" t="s">
        <v>513</v>
      </c>
      <c r="C285" s="342">
        <v>43800</v>
      </c>
      <c r="D285" s="342">
        <v>0</v>
      </c>
      <c r="E285" s="342">
        <v>0</v>
      </c>
      <c r="F285" s="342">
        <v>43800</v>
      </c>
      <c r="G285" s="342">
        <f t="shared" si="4"/>
        <v>0</v>
      </c>
    </row>
    <row r="286" spans="1:7" ht="12.75">
      <c r="A286" s="341">
        <v>511017</v>
      </c>
      <c r="B286" s="341" t="s">
        <v>514</v>
      </c>
      <c r="C286" s="342">
        <v>771405</v>
      </c>
      <c r="D286" s="342">
        <v>0</v>
      </c>
      <c r="E286" s="342">
        <v>0</v>
      </c>
      <c r="F286" s="342">
        <v>771405</v>
      </c>
      <c r="G286" s="342">
        <f t="shared" si="4"/>
        <v>0</v>
      </c>
    </row>
    <row r="287" spans="1:7" ht="12.75">
      <c r="A287" s="341">
        <v>51103201</v>
      </c>
      <c r="B287" s="341" t="s">
        <v>515</v>
      </c>
      <c r="C287" s="342">
        <v>771405</v>
      </c>
      <c r="D287" s="342">
        <v>0</v>
      </c>
      <c r="E287" s="342">
        <v>0</v>
      </c>
      <c r="F287" s="342">
        <v>771405</v>
      </c>
      <c r="G287" s="342">
        <f t="shared" si="4"/>
        <v>0</v>
      </c>
    </row>
    <row r="288" spans="1:7" ht="12.75">
      <c r="A288" s="341">
        <v>511018</v>
      </c>
      <c r="B288" s="341" t="s">
        <v>516</v>
      </c>
      <c r="C288" s="342">
        <v>4641584</v>
      </c>
      <c r="D288" s="342">
        <v>0</v>
      </c>
      <c r="E288" s="342">
        <v>0</v>
      </c>
      <c r="F288" s="342">
        <v>4641584</v>
      </c>
      <c r="G288" s="342">
        <f t="shared" si="4"/>
        <v>0</v>
      </c>
    </row>
    <row r="289" spans="1:7" ht="12.75">
      <c r="A289" s="341">
        <v>51103401</v>
      </c>
      <c r="B289" s="341" t="s">
        <v>517</v>
      </c>
      <c r="C289" s="342">
        <v>4641584</v>
      </c>
      <c r="D289" s="342">
        <v>0</v>
      </c>
      <c r="E289" s="342">
        <v>0</v>
      </c>
      <c r="F289" s="342">
        <v>4641584</v>
      </c>
      <c r="G289" s="342">
        <f t="shared" si="4"/>
        <v>0</v>
      </c>
    </row>
    <row r="290" spans="1:7" ht="12.75">
      <c r="A290" s="341">
        <v>511019</v>
      </c>
      <c r="B290" s="341" t="s">
        <v>518</v>
      </c>
      <c r="C290" s="342">
        <v>3137434</v>
      </c>
      <c r="D290" s="342">
        <v>0</v>
      </c>
      <c r="E290" s="342">
        <v>0</v>
      </c>
      <c r="F290" s="342">
        <v>3137434</v>
      </c>
      <c r="G290" s="342">
        <f t="shared" si="4"/>
        <v>0</v>
      </c>
    </row>
    <row r="291" spans="1:7" ht="12.75">
      <c r="A291" s="341">
        <v>51103601</v>
      </c>
      <c r="B291" s="341" t="s">
        <v>519</v>
      </c>
      <c r="C291" s="342">
        <v>3137434</v>
      </c>
      <c r="D291" s="342">
        <v>0</v>
      </c>
      <c r="E291" s="342">
        <v>0</v>
      </c>
      <c r="F291" s="342">
        <v>3137434</v>
      </c>
      <c r="G291" s="342">
        <f t="shared" si="4"/>
        <v>0</v>
      </c>
    </row>
    <row r="292" spans="1:7" ht="12.75">
      <c r="A292" s="341">
        <v>511020</v>
      </c>
      <c r="B292" s="341" t="s">
        <v>520</v>
      </c>
      <c r="C292" s="342">
        <v>18199000</v>
      </c>
      <c r="D292" s="342">
        <v>0</v>
      </c>
      <c r="E292" s="342">
        <v>0</v>
      </c>
      <c r="F292" s="342">
        <v>18199000</v>
      </c>
      <c r="G292" s="342">
        <f t="shared" si="4"/>
        <v>0</v>
      </c>
    </row>
    <row r="293" spans="1:7" ht="12.75">
      <c r="A293" s="341">
        <v>51103801</v>
      </c>
      <c r="B293" s="341" t="s">
        <v>130</v>
      </c>
      <c r="C293" s="342">
        <v>18199000</v>
      </c>
      <c r="D293" s="342">
        <v>0</v>
      </c>
      <c r="E293" s="342">
        <v>0</v>
      </c>
      <c r="F293" s="342">
        <v>18199000</v>
      </c>
      <c r="G293" s="342">
        <f t="shared" si="4"/>
        <v>0</v>
      </c>
    </row>
    <row r="294" spans="1:7" ht="12.75">
      <c r="A294" s="341">
        <v>511021</v>
      </c>
      <c r="B294" s="341" t="s">
        <v>521</v>
      </c>
      <c r="C294" s="342">
        <v>7237550</v>
      </c>
      <c r="D294" s="342">
        <v>535300</v>
      </c>
      <c r="E294" s="342">
        <v>0</v>
      </c>
      <c r="F294" s="342">
        <v>7772850</v>
      </c>
      <c r="G294" s="342">
        <f t="shared" si="4"/>
        <v>535300</v>
      </c>
    </row>
    <row r="295" spans="1:7" ht="12.75">
      <c r="A295" s="341">
        <v>51104001</v>
      </c>
      <c r="B295" s="341" t="s">
        <v>522</v>
      </c>
      <c r="C295" s="342">
        <v>5091150</v>
      </c>
      <c r="D295" s="342">
        <v>451600</v>
      </c>
      <c r="E295" s="342">
        <v>0</v>
      </c>
      <c r="F295" s="342">
        <v>5542750</v>
      </c>
      <c r="G295" s="342">
        <f t="shared" si="4"/>
        <v>451600</v>
      </c>
    </row>
    <row r="296" spans="1:7" ht="12.75">
      <c r="A296" s="341">
        <v>51104002</v>
      </c>
      <c r="B296" s="341" t="s">
        <v>523</v>
      </c>
      <c r="C296" s="342">
        <v>2146400</v>
      </c>
      <c r="D296" s="342">
        <v>83700</v>
      </c>
      <c r="E296" s="342">
        <v>0</v>
      </c>
      <c r="F296" s="342">
        <v>2230100</v>
      </c>
      <c r="G296" s="342">
        <f t="shared" si="4"/>
        <v>83700</v>
      </c>
    </row>
    <row r="297" spans="1:7" ht="12.75">
      <c r="A297" s="341">
        <v>511022</v>
      </c>
      <c r="B297" s="341" t="s">
        <v>524</v>
      </c>
      <c r="C297" s="342">
        <v>3742950</v>
      </c>
      <c r="D297" s="342">
        <v>249900</v>
      </c>
      <c r="E297" s="342">
        <v>0</v>
      </c>
      <c r="F297" s="342">
        <v>3992850</v>
      </c>
      <c r="G297" s="342">
        <f t="shared" si="4"/>
        <v>249900</v>
      </c>
    </row>
    <row r="298" spans="1:7" ht="12.75">
      <c r="A298" s="341">
        <v>51104201</v>
      </c>
      <c r="B298" s="341" t="s">
        <v>525</v>
      </c>
      <c r="C298" s="342">
        <v>253475</v>
      </c>
      <c r="D298" s="342">
        <v>70400</v>
      </c>
      <c r="E298" s="342">
        <v>0</v>
      </c>
      <c r="F298" s="342">
        <v>323875</v>
      </c>
      <c r="G298" s="342">
        <f t="shared" si="4"/>
        <v>70400</v>
      </c>
    </row>
    <row r="299" spans="1:7" ht="12.75">
      <c r="A299" s="341">
        <v>51104202</v>
      </c>
      <c r="B299" s="341" t="s">
        <v>526</v>
      </c>
      <c r="C299" s="342">
        <v>2162625</v>
      </c>
      <c r="D299" s="342">
        <v>120700</v>
      </c>
      <c r="E299" s="342">
        <v>0</v>
      </c>
      <c r="F299" s="342">
        <v>2283325</v>
      </c>
      <c r="G299" s="342">
        <f t="shared" si="4"/>
        <v>120700</v>
      </c>
    </row>
    <row r="300" spans="1:7" ht="12.75">
      <c r="A300" s="341">
        <v>51104203</v>
      </c>
      <c r="B300" s="341" t="s">
        <v>527</v>
      </c>
      <c r="C300" s="342">
        <v>435225</v>
      </c>
      <c r="D300" s="342">
        <v>58800</v>
      </c>
      <c r="E300" s="342">
        <v>0</v>
      </c>
      <c r="F300" s="342">
        <v>494025</v>
      </c>
      <c r="G300" s="342">
        <f t="shared" si="4"/>
        <v>58800</v>
      </c>
    </row>
    <row r="301" spans="1:7" ht="12.75">
      <c r="A301" s="341">
        <v>51104204</v>
      </c>
      <c r="B301" s="341" t="s">
        <v>620</v>
      </c>
      <c r="C301" s="342">
        <v>292050</v>
      </c>
      <c r="D301" s="342">
        <v>0</v>
      </c>
      <c r="E301" s="342">
        <v>0</v>
      </c>
      <c r="F301" s="342">
        <v>292050</v>
      </c>
      <c r="G301" s="342">
        <f t="shared" si="4"/>
        <v>0</v>
      </c>
    </row>
    <row r="302" spans="1:7" ht="12.75">
      <c r="A302" s="341">
        <v>51104205</v>
      </c>
      <c r="B302" s="341" t="s">
        <v>528</v>
      </c>
      <c r="C302" s="342">
        <v>599575</v>
      </c>
      <c r="D302" s="342">
        <v>0</v>
      </c>
      <c r="E302" s="342">
        <v>0</v>
      </c>
      <c r="F302" s="342">
        <v>599575</v>
      </c>
      <c r="G302" s="342">
        <f t="shared" si="4"/>
        <v>0</v>
      </c>
    </row>
    <row r="303" spans="1:7" ht="12.75">
      <c r="A303" s="341">
        <v>511024</v>
      </c>
      <c r="B303" s="341" t="s">
        <v>529</v>
      </c>
      <c r="C303" s="342">
        <v>3122020</v>
      </c>
      <c r="D303" s="342">
        <v>122790</v>
      </c>
      <c r="E303" s="342">
        <v>0</v>
      </c>
      <c r="F303" s="342">
        <v>3244810</v>
      </c>
      <c r="G303" s="342">
        <f t="shared" si="4"/>
        <v>122790</v>
      </c>
    </row>
    <row r="304" spans="1:7" ht="12.75">
      <c r="A304" s="341">
        <v>51101602</v>
      </c>
      <c r="B304" s="341" t="s">
        <v>621</v>
      </c>
      <c r="C304" s="342">
        <v>1041426</v>
      </c>
      <c r="D304" s="342">
        <v>116990</v>
      </c>
      <c r="E304" s="342">
        <v>0</v>
      </c>
      <c r="F304" s="342">
        <v>1158416</v>
      </c>
      <c r="G304" s="342">
        <f t="shared" si="4"/>
        <v>116990</v>
      </c>
    </row>
    <row r="305" spans="1:7" ht="12.75">
      <c r="A305" s="341">
        <v>51104601</v>
      </c>
      <c r="B305" s="341" t="s">
        <v>530</v>
      </c>
      <c r="C305" s="342">
        <v>69394</v>
      </c>
      <c r="D305" s="342">
        <v>0</v>
      </c>
      <c r="E305" s="342">
        <v>0</v>
      </c>
      <c r="F305" s="342">
        <v>69394</v>
      </c>
      <c r="G305" s="342">
        <f t="shared" si="4"/>
        <v>0</v>
      </c>
    </row>
    <row r="306" spans="1:7" ht="12.75">
      <c r="A306" s="341">
        <v>51104602</v>
      </c>
      <c r="B306" s="341" t="s">
        <v>531</v>
      </c>
      <c r="C306" s="342">
        <v>2011200</v>
      </c>
      <c r="D306" s="342">
        <v>5800</v>
      </c>
      <c r="E306" s="342">
        <v>0</v>
      </c>
      <c r="F306" s="342">
        <v>2017000</v>
      </c>
      <c r="G306" s="342">
        <f t="shared" si="4"/>
        <v>5800</v>
      </c>
    </row>
    <row r="307" spans="1:7" ht="12.75">
      <c r="A307" s="341">
        <v>511025</v>
      </c>
      <c r="B307" s="341" t="s">
        <v>532</v>
      </c>
      <c r="C307" s="342">
        <v>1411184</v>
      </c>
      <c r="D307" s="342">
        <v>2809053</v>
      </c>
      <c r="E307" s="342">
        <v>0</v>
      </c>
      <c r="F307" s="342">
        <v>4220237</v>
      </c>
      <c r="G307" s="342">
        <f t="shared" si="4"/>
        <v>2809053</v>
      </c>
    </row>
    <row r="308" spans="1:7" ht="12.75">
      <c r="A308" s="341">
        <v>51104801</v>
      </c>
      <c r="B308" s="341" t="s">
        <v>533</v>
      </c>
      <c r="C308" s="342">
        <v>1411184</v>
      </c>
      <c r="D308" s="342">
        <v>2809053</v>
      </c>
      <c r="E308" s="342">
        <v>0</v>
      </c>
      <c r="F308" s="342">
        <v>4220237</v>
      </c>
      <c r="G308" s="342">
        <f t="shared" si="4"/>
        <v>2809053</v>
      </c>
    </row>
    <row r="309" spans="1:7" ht="12.75">
      <c r="A309" s="341">
        <v>511028</v>
      </c>
      <c r="B309" s="341" t="s">
        <v>622</v>
      </c>
      <c r="C309" s="342">
        <v>2150000</v>
      </c>
      <c r="D309" s="342">
        <v>0</v>
      </c>
      <c r="E309" s="342">
        <v>0</v>
      </c>
      <c r="F309" s="342">
        <v>2150000</v>
      </c>
      <c r="G309" s="342">
        <f t="shared" si="4"/>
        <v>0</v>
      </c>
    </row>
    <row r="310" spans="1:7" ht="12.75">
      <c r="A310" s="341">
        <v>51105401</v>
      </c>
      <c r="B310" s="341" t="s">
        <v>623</v>
      </c>
      <c r="C310" s="342">
        <v>2150000</v>
      </c>
      <c r="D310" s="342">
        <v>0</v>
      </c>
      <c r="E310" s="342">
        <v>0</v>
      </c>
      <c r="F310" s="342">
        <v>2150000</v>
      </c>
      <c r="G310" s="342">
        <f t="shared" si="4"/>
        <v>0</v>
      </c>
    </row>
    <row r="311" spans="1:7" ht="12.75">
      <c r="A311" s="341">
        <v>511029</v>
      </c>
      <c r="B311" s="341" t="s">
        <v>534</v>
      </c>
      <c r="C311" s="342">
        <v>22855151</v>
      </c>
      <c r="D311" s="342">
        <v>2077741</v>
      </c>
      <c r="E311" s="342">
        <v>0</v>
      </c>
      <c r="F311" s="342">
        <v>24932892</v>
      </c>
      <c r="G311" s="342">
        <f t="shared" si="4"/>
        <v>2077741</v>
      </c>
    </row>
    <row r="312" spans="1:7" ht="12.75">
      <c r="A312" s="341">
        <v>51105601</v>
      </c>
      <c r="B312" s="341" t="s">
        <v>535</v>
      </c>
      <c r="C312" s="342">
        <v>22855151</v>
      </c>
      <c r="D312" s="342">
        <v>2077741</v>
      </c>
      <c r="E312" s="342">
        <v>0</v>
      </c>
      <c r="F312" s="342">
        <v>24932892</v>
      </c>
      <c r="G312" s="342">
        <f t="shared" si="4"/>
        <v>2077741</v>
      </c>
    </row>
    <row r="313" spans="1:7" ht="12.75">
      <c r="A313" s="341">
        <v>511030</v>
      </c>
      <c r="B313" s="341" t="s">
        <v>536</v>
      </c>
      <c r="C313" s="342">
        <v>8813256</v>
      </c>
      <c r="D313" s="342">
        <v>848296</v>
      </c>
      <c r="E313" s="342">
        <v>0</v>
      </c>
      <c r="F313" s="342">
        <v>9661552</v>
      </c>
      <c r="G313" s="342">
        <f t="shared" si="4"/>
        <v>848296</v>
      </c>
    </row>
    <row r="314" spans="1:7" ht="12.75">
      <c r="A314" s="341">
        <v>51105801</v>
      </c>
      <c r="B314" s="341" t="s">
        <v>537</v>
      </c>
      <c r="C314" s="342">
        <v>3302068</v>
      </c>
      <c r="D314" s="342">
        <v>600376</v>
      </c>
      <c r="E314" s="342">
        <v>0</v>
      </c>
      <c r="F314" s="342">
        <v>3902444</v>
      </c>
      <c r="G314" s="342">
        <f t="shared" si="4"/>
        <v>600376</v>
      </c>
    </row>
    <row r="315" spans="1:7" ht="12.75">
      <c r="A315" s="341">
        <v>51105803</v>
      </c>
      <c r="B315" s="341" t="s">
        <v>538</v>
      </c>
      <c r="C315" s="342">
        <v>5511188</v>
      </c>
      <c r="D315" s="342">
        <v>247920</v>
      </c>
      <c r="E315" s="342">
        <v>0</v>
      </c>
      <c r="F315" s="342">
        <v>5759108</v>
      </c>
      <c r="G315" s="342">
        <f t="shared" si="4"/>
        <v>247920</v>
      </c>
    </row>
    <row r="316" spans="1:7" ht="12.75">
      <c r="A316" s="341">
        <v>511032</v>
      </c>
      <c r="B316" s="341" t="s">
        <v>539</v>
      </c>
      <c r="C316" s="342">
        <v>429000</v>
      </c>
      <c r="D316" s="342">
        <v>0</v>
      </c>
      <c r="E316" s="342">
        <v>0</v>
      </c>
      <c r="F316" s="342">
        <v>429000</v>
      </c>
      <c r="G316" s="342">
        <f t="shared" si="4"/>
        <v>0</v>
      </c>
    </row>
    <row r="317" spans="1:7" ht="12.75">
      <c r="A317" s="341">
        <v>51106201</v>
      </c>
      <c r="B317" s="341" t="s">
        <v>540</v>
      </c>
      <c r="C317" s="342">
        <v>429000</v>
      </c>
      <c r="D317" s="342">
        <v>0</v>
      </c>
      <c r="E317" s="342">
        <v>0</v>
      </c>
      <c r="F317" s="342">
        <v>429000</v>
      </c>
      <c r="G317" s="342">
        <f t="shared" si="4"/>
        <v>0</v>
      </c>
    </row>
    <row r="318" spans="1:7" ht="12.75">
      <c r="A318" s="341">
        <v>511095</v>
      </c>
      <c r="B318" s="341" t="s">
        <v>338</v>
      </c>
      <c r="C318" s="342">
        <v>277995910.12</v>
      </c>
      <c r="D318" s="342">
        <v>1586913</v>
      </c>
      <c r="E318" s="342">
        <v>205600</v>
      </c>
      <c r="F318" s="342">
        <v>279377223.12</v>
      </c>
      <c r="G318" s="342">
        <f t="shared" si="4"/>
        <v>1381313</v>
      </c>
    </row>
    <row r="319" spans="1:7" ht="12.75">
      <c r="A319" s="341">
        <v>51107001</v>
      </c>
      <c r="B319" s="341" t="s">
        <v>541</v>
      </c>
      <c r="C319" s="342">
        <v>4247100</v>
      </c>
      <c r="D319" s="342">
        <v>0</v>
      </c>
      <c r="E319" s="342">
        <v>0</v>
      </c>
      <c r="F319" s="342">
        <v>4247100</v>
      </c>
      <c r="G319" s="342">
        <f t="shared" si="4"/>
        <v>0</v>
      </c>
    </row>
    <row r="320" spans="1:7" ht="12.75">
      <c r="A320" s="341">
        <v>51107801</v>
      </c>
      <c r="B320" s="341" t="s">
        <v>624</v>
      </c>
      <c r="C320" s="342">
        <v>273748810.12</v>
      </c>
      <c r="D320" s="342">
        <v>0</v>
      </c>
      <c r="E320" s="342">
        <v>205600</v>
      </c>
      <c r="F320" s="342">
        <v>273543210.12</v>
      </c>
      <c r="G320" s="342">
        <f t="shared" si="4"/>
        <v>-205600</v>
      </c>
    </row>
    <row r="321" spans="1:7" ht="12.75">
      <c r="A321" s="341">
        <v>51109503</v>
      </c>
      <c r="B321" s="341" t="s">
        <v>542</v>
      </c>
      <c r="C321" s="342">
        <v>0</v>
      </c>
      <c r="D321" s="342">
        <v>1586913</v>
      </c>
      <c r="E321" s="342">
        <v>0</v>
      </c>
      <c r="F321" s="342">
        <v>1586913</v>
      </c>
      <c r="G321" s="342">
        <f t="shared" si="4"/>
        <v>1586913</v>
      </c>
    </row>
    <row r="322" spans="1:7" ht="12.75">
      <c r="A322" s="341">
        <v>5115</v>
      </c>
      <c r="B322" s="341" t="s">
        <v>543</v>
      </c>
      <c r="C322" s="342">
        <v>66411846.03</v>
      </c>
      <c r="D322" s="342">
        <v>44348396.64</v>
      </c>
      <c r="E322" s="342">
        <v>6869505.49</v>
      </c>
      <c r="F322" s="342">
        <v>103890737.18</v>
      </c>
      <c r="G322" s="342">
        <f t="shared" si="4"/>
        <v>37478891.150000006</v>
      </c>
    </row>
    <row r="323" spans="1:7" ht="12.75">
      <c r="A323" s="341">
        <v>511517</v>
      </c>
      <c r="B323" s="341" t="s">
        <v>544</v>
      </c>
      <c r="C323" s="342">
        <v>66186602.03</v>
      </c>
      <c r="D323" s="342">
        <v>4245667.64</v>
      </c>
      <c r="E323" s="342">
        <v>6320944.49</v>
      </c>
      <c r="F323" s="342">
        <v>64111325.18</v>
      </c>
      <c r="G323" s="342">
        <f aca="true" t="shared" si="5" ref="G323:G386">+F323-C323</f>
        <v>-2075276.8500000015</v>
      </c>
    </row>
    <row r="324" spans="1:7" ht="12.75">
      <c r="A324" s="341">
        <v>51151501</v>
      </c>
      <c r="B324" s="341" t="s">
        <v>545</v>
      </c>
      <c r="C324" s="342">
        <v>66186602.03</v>
      </c>
      <c r="D324" s="342">
        <v>4245667.64</v>
      </c>
      <c r="E324" s="342">
        <v>6320944.49</v>
      </c>
      <c r="F324" s="342">
        <v>64111325.18</v>
      </c>
      <c r="G324" s="342">
        <f t="shared" si="5"/>
        <v>-2075276.8500000015</v>
      </c>
    </row>
    <row r="325" spans="1:7" ht="12.75">
      <c r="A325" s="341">
        <v>511529</v>
      </c>
      <c r="B325" s="341" t="s">
        <v>332</v>
      </c>
      <c r="C325" s="342">
        <v>225244</v>
      </c>
      <c r="D325" s="342">
        <v>0</v>
      </c>
      <c r="E325" s="342">
        <v>548561</v>
      </c>
      <c r="F325" s="342">
        <v>-323317</v>
      </c>
      <c r="G325" s="342">
        <f t="shared" si="5"/>
        <v>-548561</v>
      </c>
    </row>
    <row r="326" spans="1:7" ht="12.75">
      <c r="A326" s="341">
        <v>51152401</v>
      </c>
      <c r="B326" s="341" t="s">
        <v>546</v>
      </c>
      <c r="C326" s="342">
        <v>225244</v>
      </c>
      <c r="D326" s="342">
        <v>0</v>
      </c>
      <c r="E326" s="342">
        <v>548561</v>
      </c>
      <c r="F326" s="342">
        <v>-323317</v>
      </c>
      <c r="G326" s="342">
        <f t="shared" si="5"/>
        <v>-548561</v>
      </c>
    </row>
    <row r="327" spans="1:7" ht="12.75">
      <c r="A327" s="341">
        <v>511546</v>
      </c>
      <c r="B327" s="341" t="s">
        <v>153</v>
      </c>
      <c r="C327" s="342">
        <v>0</v>
      </c>
      <c r="D327" s="342">
        <v>40102729</v>
      </c>
      <c r="E327" s="342">
        <v>0</v>
      </c>
      <c r="F327" s="342">
        <v>40102729</v>
      </c>
      <c r="G327" s="342">
        <f t="shared" si="5"/>
        <v>40102729</v>
      </c>
    </row>
    <row r="328" spans="1:7" ht="12.75">
      <c r="A328" s="341">
        <v>51156501</v>
      </c>
      <c r="B328" s="341" t="s">
        <v>547</v>
      </c>
      <c r="C328" s="342">
        <v>0</v>
      </c>
      <c r="D328" s="342">
        <v>40102729</v>
      </c>
      <c r="E328" s="342">
        <v>0</v>
      </c>
      <c r="F328" s="342">
        <v>40102729</v>
      </c>
      <c r="G328" s="342">
        <f t="shared" si="5"/>
        <v>40102729</v>
      </c>
    </row>
    <row r="329" spans="1:7" ht="12.75">
      <c r="A329" s="341">
        <v>5125</v>
      </c>
      <c r="B329" s="341" t="s">
        <v>551</v>
      </c>
      <c r="C329" s="342">
        <v>18533461.02</v>
      </c>
      <c r="D329" s="342">
        <v>1738316.84</v>
      </c>
      <c r="E329" s="342">
        <v>0</v>
      </c>
      <c r="F329" s="342">
        <v>20271777.86</v>
      </c>
      <c r="G329" s="342">
        <f t="shared" si="5"/>
        <v>1738316.8399999999</v>
      </c>
    </row>
    <row r="330" spans="1:7" ht="12.75">
      <c r="A330" s="341">
        <v>512505</v>
      </c>
      <c r="B330" s="341" t="s">
        <v>352</v>
      </c>
      <c r="C330" s="342">
        <v>5816761.17</v>
      </c>
      <c r="D330" s="342">
        <v>528796.47</v>
      </c>
      <c r="E330" s="342">
        <v>0</v>
      </c>
      <c r="F330" s="342">
        <v>6345557.64</v>
      </c>
      <c r="G330" s="342">
        <f t="shared" si="5"/>
        <v>528796.4699999997</v>
      </c>
    </row>
    <row r="331" spans="1:7" ht="12.75">
      <c r="A331" s="341">
        <v>51251501</v>
      </c>
      <c r="B331" s="341" t="s">
        <v>39</v>
      </c>
      <c r="C331" s="342">
        <v>5816761.17</v>
      </c>
      <c r="D331" s="342">
        <v>528796.47</v>
      </c>
      <c r="E331" s="342">
        <v>0</v>
      </c>
      <c r="F331" s="342">
        <v>6345557.64</v>
      </c>
      <c r="G331" s="342">
        <f t="shared" si="5"/>
        <v>528796.4699999997</v>
      </c>
    </row>
    <row r="332" spans="1:7" ht="12.75">
      <c r="A332" s="341">
        <v>512510</v>
      </c>
      <c r="B332" s="341" t="s">
        <v>354</v>
      </c>
      <c r="C332" s="342">
        <v>2534287.83</v>
      </c>
      <c r="D332" s="342">
        <v>269338.37</v>
      </c>
      <c r="E332" s="342">
        <v>0</v>
      </c>
      <c r="F332" s="342">
        <v>2803626.2</v>
      </c>
      <c r="G332" s="342">
        <f t="shared" si="5"/>
        <v>269338.3700000001</v>
      </c>
    </row>
    <row r="333" spans="1:7" ht="12.75">
      <c r="A333" s="341">
        <v>51252001</v>
      </c>
      <c r="B333" s="341" t="s">
        <v>552</v>
      </c>
      <c r="C333" s="342">
        <v>2534287.83</v>
      </c>
      <c r="D333" s="342">
        <v>269338.37</v>
      </c>
      <c r="E333" s="342">
        <v>0</v>
      </c>
      <c r="F333" s="342">
        <v>2803626.2</v>
      </c>
      <c r="G333" s="342">
        <f t="shared" si="5"/>
        <v>269338.3700000001</v>
      </c>
    </row>
    <row r="334" spans="1:7" ht="12.75">
      <c r="A334" s="341">
        <v>512515</v>
      </c>
      <c r="B334" s="341" t="s">
        <v>357</v>
      </c>
      <c r="C334" s="342">
        <v>10182412.02</v>
      </c>
      <c r="D334" s="342">
        <v>940182</v>
      </c>
      <c r="E334" s="342">
        <v>0</v>
      </c>
      <c r="F334" s="342">
        <v>11122594.02</v>
      </c>
      <c r="G334" s="342">
        <f t="shared" si="5"/>
        <v>940182</v>
      </c>
    </row>
    <row r="335" spans="1:7" ht="12.75">
      <c r="A335" s="341">
        <v>51252501</v>
      </c>
      <c r="B335" s="341" t="s">
        <v>553</v>
      </c>
      <c r="C335" s="342">
        <v>10182412.02</v>
      </c>
      <c r="D335" s="342">
        <v>940182</v>
      </c>
      <c r="E335" s="342">
        <v>0</v>
      </c>
      <c r="F335" s="342">
        <v>11122594.02</v>
      </c>
      <c r="G335" s="342">
        <f t="shared" si="5"/>
        <v>940182</v>
      </c>
    </row>
    <row r="336" spans="1:7" ht="12.75">
      <c r="A336" s="341">
        <v>5200</v>
      </c>
      <c r="B336" s="341" t="s">
        <v>554</v>
      </c>
      <c r="C336" s="342">
        <v>14777839.35</v>
      </c>
      <c r="D336" s="342">
        <v>6630679</v>
      </c>
      <c r="E336" s="342">
        <v>1588009.51</v>
      </c>
      <c r="F336" s="342">
        <v>19820508.84</v>
      </c>
      <c r="G336" s="342">
        <f t="shared" si="5"/>
        <v>5042669.49</v>
      </c>
    </row>
    <row r="337" spans="1:7" ht="12.75">
      <c r="A337" s="341">
        <v>5210</v>
      </c>
      <c r="B337" s="341" t="s">
        <v>555</v>
      </c>
      <c r="C337" s="342">
        <v>14467968.35</v>
      </c>
      <c r="D337" s="342">
        <v>6630679</v>
      </c>
      <c r="E337" s="342">
        <v>1588009.51</v>
      </c>
      <c r="F337" s="342">
        <v>19510637.84</v>
      </c>
      <c r="G337" s="342">
        <f t="shared" si="5"/>
        <v>5042669.49</v>
      </c>
    </row>
    <row r="338" spans="1:7" ht="12.75">
      <c r="A338" s="341">
        <v>521005</v>
      </c>
      <c r="B338" s="341" t="s">
        <v>556</v>
      </c>
      <c r="C338" s="342">
        <v>1083106</v>
      </c>
      <c r="D338" s="342">
        <v>184450</v>
      </c>
      <c r="E338" s="342">
        <v>4000</v>
      </c>
      <c r="F338" s="342">
        <v>1263556</v>
      </c>
      <c r="G338" s="342">
        <f t="shared" si="5"/>
        <v>180450</v>
      </c>
    </row>
    <row r="339" spans="1:7" ht="12.75">
      <c r="A339" s="341">
        <v>51400501</v>
      </c>
      <c r="B339" s="341" t="s">
        <v>625</v>
      </c>
      <c r="C339" s="342">
        <v>1083106</v>
      </c>
      <c r="D339" s="342">
        <v>184450</v>
      </c>
      <c r="E339" s="342">
        <v>4000</v>
      </c>
      <c r="F339" s="342">
        <v>1263556</v>
      </c>
      <c r="G339" s="342">
        <f t="shared" si="5"/>
        <v>180450</v>
      </c>
    </row>
    <row r="340" spans="1:7" ht="12.75">
      <c r="A340" s="341">
        <v>521015</v>
      </c>
      <c r="B340" s="341" t="s">
        <v>557</v>
      </c>
      <c r="C340" s="342">
        <v>1981679.17</v>
      </c>
      <c r="D340" s="342">
        <v>1538567</v>
      </c>
      <c r="E340" s="342">
        <v>0.51</v>
      </c>
      <c r="F340" s="342">
        <v>3520245.66</v>
      </c>
      <c r="G340" s="342">
        <f t="shared" si="5"/>
        <v>1538566.4900000002</v>
      </c>
    </row>
    <row r="341" spans="1:7" ht="12.75">
      <c r="A341" s="341">
        <v>53055001</v>
      </c>
      <c r="B341" s="341" t="s">
        <v>558</v>
      </c>
      <c r="C341" s="342">
        <v>1980551</v>
      </c>
      <c r="D341" s="342">
        <v>1538545</v>
      </c>
      <c r="E341" s="342">
        <v>0</v>
      </c>
      <c r="F341" s="342">
        <v>3519096</v>
      </c>
      <c r="G341" s="342">
        <f t="shared" si="5"/>
        <v>1538545</v>
      </c>
    </row>
    <row r="342" spans="1:7" ht="12.75">
      <c r="A342" s="341">
        <v>53059501</v>
      </c>
      <c r="B342" s="341" t="s">
        <v>559</v>
      </c>
      <c r="C342" s="342">
        <v>1128.17</v>
      </c>
      <c r="D342" s="342">
        <v>22</v>
      </c>
      <c r="E342" s="342">
        <v>0.51</v>
      </c>
      <c r="F342" s="342">
        <v>1149.66</v>
      </c>
      <c r="G342" s="342">
        <f t="shared" si="5"/>
        <v>21.49000000000001</v>
      </c>
    </row>
    <row r="343" spans="1:7" ht="12.75">
      <c r="A343" s="341">
        <v>521020</v>
      </c>
      <c r="B343" s="341" t="s">
        <v>560</v>
      </c>
      <c r="C343" s="342">
        <v>11403183.18</v>
      </c>
      <c r="D343" s="342">
        <v>4907662</v>
      </c>
      <c r="E343" s="342">
        <v>1584009</v>
      </c>
      <c r="F343" s="342">
        <v>14726836.18</v>
      </c>
      <c r="G343" s="342">
        <f t="shared" si="5"/>
        <v>3323653</v>
      </c>
    </row>
    <row r="344" spans="1:7" ht="12.75">
      <c r="A344" s="341">
        <v>51401501</v>
      </c>
      <c r="B344" s="341" t="s">
        <v>561</v>
      </c>
      <c r="C344" s="342">
        <v>11374989.18</v>
      </c>
      <c r="D344" s="342">
        <v>4907662</v>
      </c>
      <c r="E344" s="342">
        <v>1584009</v>
      </c>
      <c r="F344" s="342">
        <v>14698642.18</v>
      </c>
      <c r="G344" s="342">
        <f t="shared" si="5"/>
        <v>3323653</v>
      </c>
    </row>
    <row r="345" spans="1:7" ht="12.75">
      <c r="A345" s="341">
        <v>51402001</v>
      </c>
      <c r="B345" s="341" t="s">
        <v>562</v>
      </c>
      <c r="C345" s="342">
        <v>28194</v>
      </c>
      <c r="D345" s="342">
        <v>0</v>
      </c>
      <c r="E345" s="342">
        <v>0</v>
      </c>
      <c r="F345" s="342">
        <v>28194</v>
      </c>
      <c r="G345" s="342">
        <f t="shared" si="5"/>
        <v>0</v>
      </c>
    </row>
    <row r="346" spans="1:7" ht="12.75">
      <c r="A346" s="341">
        <v>5230</v>
      </c>
      <c r="B346" s="341" t="s">
        <v>563</v>
      </c>
      <c r="C346" s="342">
        <v>309871</v>
      </c>
      <c r="D346" s="342">
        <v>0</v>
      </c>
      <c r="E346" s="342">
        <v>0</v>
      </c>
      <c r="F346" s="342">
        <v>309871</v>
      </c>
      <c r="G346" s="342">
        <f t="shared" si="5"/>
        <v>0</v>
      </c>
    </row>
    <row r="347" spans="1:7" ht="12.75">
      <c r="A347" s="341">
        <v>523095</v>
      </c>
      <c r="B347" s="341" t="s">
        <v>338</v>
      </c>
      <c r="C347" s="342">
        <v>309871</v>
      </c>
      <c r="D347" s="342">
        <v>0</v>
      </c>
      <c r="E347" s="342">
        <v>0</v>
      </c>
      <c r="F347" s="342">
        <v>309871</v>
      </c>
      <c r="G347" s="342">
        <f t="shared" si="5"/>
        <v>0</v>
      </c>
    </row>
    <row r="348" spans="1:7" ht="12.75">
      <c r="A348" s="341">
        <v>53100501</v>
      </c>
      <c r="B348" s="341" t="s">
        <v>626</v>
      </c>
      <c r="C348" s="342">
        <v>309871</v>
      </c>
      <c r="D348" s="342">
        <v>0</v>
      </c>
      <c r="E348" s="342">
        <v>0</v>
      </c>
      <c r="F348" s="342">
        <v>309871</v>
      </c>
      <c r="G348" s="342">
        <f t="shared" si="5"/>
        <v>0</v>
      </c>
    </row>
    <row r="349" spans="1:7" ht="12.75">
      <c r="A349" s="341">
        <v>8000</v>
      </c>
      <c r="B349" s="341" t="s">
        <v>564</v>
      </c>
      <c r="C349" s="342">
        <v>0</v>
      </c>
      <c r="D349" s="342">
        <v>8655601</v>
      </c>
      <c r="E349" s="342">
        <v>8655601</v>
      </c>
      <c r="F349" s="342">
        <v>0</v>
      </c>
      <c r="G349" s="342">
        <f t="shared" si="5"/>
        <v>0</v>
      </c>
    </row>
    <row r="350" spans="1:7" ht="12.75">
      <c r="A350" s="341">
        <v>8100</v>
      </c>
      <c r="B350" s="341" t="s">
        <v>565</v>
      </c>
      <c r="C350" s="342">
        <v>30067227</v>
      </c>
      <c r="D350" s="342">
        <v>4205999</v>
      </c>
      <c r="E350" s="342">
        <v>4449602</v>
      </c>
      <c r="F350" s="342">
        <v>29823624</v>
      </c>
      <c r="G350" s="342">
        <f t="shared" si="5"/>
        <v>-243603</v>
      </c>
    </row>
    <row r="351" spans="1:7" ht="12.75">
      <c r="A351" s="341">
        <v>8115</v>
      </c>
      <c r="B351" s="341" t="s">
        <v>566</v>
      </c>
      <c r="C351" s="342">
        <v>30067227</v>
      </c>
      <c r="D351" s="342">
        <v>4205999</v>
      </c>
      <c r="E351" s="342">
        <v>4449602</v>
      </c>
      <c r="F351" s="342">
        <v>29823624</v>
      </c>
      <c r="G351" s="342">
        <f t="shared" si="5"/>
        <v>-243603</v>
      </c>
    </row>
    <row r="352" spans="1:7" ht="12.75">
      <c r="A352" s="341">
        <v>811540</v>
      </c>
      <c r="B352" s="341" t="s">
        <v>567</v>
      </c>
      <c r="C352" s="342">
        <v>1766321</v>
      </c>
      <c r="D352" s="342">
        <v>335907</v>
      </c>
      <c r="E352" s="342">
        <v>1569767</v>
      </c>
      <c r="F352" s="342">
        <v>532461</v>
      </c>
      <c r="G352" s="342">
        <f t="shared" si="5"/>
        <v>-1233860</v>
      </c>
    </row>
    <row r="353" spans="1:7" ht="12.75">
      <c r="A353" s="341">
        <v>81202601</v>
      </c>
      <c r="B353" s="341" t="s">
        <v>568</v>
      </c>
      <c r="C353" s="342">
        <v>1679733</v>
      </c>
      <c r="D353" s="342">
        <v>315073</v>
      </c>
      <c r="E353" s="342">
        <v>1493222</v>
      </c>
      <c r="F353" s="342">
        <v>501584</v>
      </c>
      <c r="G353" s="342">
        <f t="shared" si="5"/>
        <v>-1178149</v>
      </c>
    </row>
    <row r="354" spans="1:7" ht="12.75">
      <c r="A354" s="341">
        <v>81202602</v>
      </c>
      <c r="B354" s="341" t="s">
        <v>627</v>
      </c>
      <c r="C354" s="342">
        <v>86588</v>
      </c>
      <c r="D354" s="342">
        <v>20834</v>
      </c>
      <c r="E354" s="342">
        <v>76545</v>
      </c>
      <c r="F354" s="342">
        <v>30877</v>
      </c>
      <c r="G354" s="342">
        <f t="shared" si="5"/>
        <v>-55711</v>
      </c>
    </row>
    <row r="355" spans="1:7" ht="12.75">
      <c r="A355" s="341">
        <v>811545</v>
      </c>
      <c r="B355" s="341" t="s">
        <v>569</v>
      </c>
      <c r="C355" s="342">
        <v>4043716</v>
      </c>
      <c r="D355" s="342">
        <v>2489041</v>
      </c>
      <c r="E355" s="342">
        <v>1263647</v>
      </c>
      <c r="F355" s="342">
        <v>5269110</v>
      </c>
      <c r="G355" s="342">
        <f t="shared" si="5"/>
        <v>1225394</v>
      </c>
    </row>
    <row r="356" spans="1:7" ht="12.75">
      <c r="A356" s="341">
        <v>81202801</v>
      </c>
      <c r="B356" s="341" t="s">
        <v>570</v>
      </c>
      <c r="C356" s="342">
        <v>3691598</v>
      </c>
      <c r="D356" s="342">
        <v>2357650</v>
      </c>
      <c r="E356" s="342">
        <v>1065361</v>
      </c>
      <c r="F356" s="342">
        <v>4983887</v>
      </c>
      <c r="G356" s="342">
        <f t="shared" si="5"/>
        <v>1292289</v>
      </c>
    </row>
    <row r="357" spans="1:7" ht="12.75">
      <c r="A357" s="341">
        <v>81202802</v>
      </c>
      <c r="B357" s="341" t="s">
        <v>571</v>
      </c>
      <c r="C357" s="342">
        <v>352118</v>
      </c>
      <c r="D357" s="342">
        <v>131391</v>
      </c>
      <c r="E357" s="342">
        <v>198286</v>
      </c>
      <c r="F357" s="342">
        <v>285223</v>
      </c>
      <c r="G357" s="342">
        <f t="shared" si="5"/>
        <v>-66895</v>
      </c>
    </row>
    <row r="358" spans="1:7" ht="12.75">
      <c r="A358" s="341">
        <v>811550</v>
      </c>
      <c r="B358" s="341" t="s">
        <v>572</v>
      </c>
      <c r="C358" s="342">
        <v>24257190</v>
      </c>
      <c r="D358" s="342">
        <v>1381051</v>
      </c>
      <c r="E358" s="342">
        <v>1616188</v>
      </c>
      <c r="F358" s="342">
        <v>24022053</v>
      </c>
      <c r="G358" s="342">
        <f t="shared" si="5"/>
        <v>-235137</v>
      </c>
    </row>
    <row r="359" spans="1:7" ht="12.75">
      <c r="A359" s="341">
        <v>81203001</v>
      </c>
      <c r="B359" s="341" t="s">
        <v>573</v>
      </c>
      <c r="C359" s="342">
        <v>18980533</v>
      </c>
      <c r="D359" s="342">
        <v>900416</v>
      </c>
      <c r="E359" s="342">
        <v>1276666</v>
      </c>
      <c r="F359" s="342">
        <v>18604283</v>
      </c>
      <c r="G359" s="342">
        <f t="shared" si="5"/>
        <v>-376250</v>
      </c>
    </row>
    <row r="360" spans="1:7" ht="12.75">
      <c r="A360" s="341">
        <v>81203002</v>
      </c>
      <c r="B360" s="341" t="s">
        <v>574</v>
      </c>
      <c r="C360" s="342">
        <v>5276657</v>
      </c>
      <c r="D360" s="342">
        <v>480635</v>
      </c>
      <c r="E360" s="342">
        <v>339522</v>
      </c>
      <c r="F360" s="342">
        <v>5417770</v>
      </c>
      <c r="G360" s="342">
        <f t="shared" si="5"/>
        <v>141113</v>
      </c>
    </row>
    <row r="361" spans="1:7" ht="12.75">
      <c r="A361" s="341">
        <v>8300</v>
      </c>
      <c r="B361" s="341" t="s">
        <v>575</v>
      </c>
      <c r="C361" s="342">
        <v>214548253.09</v>
      </c>
      <c r="D361" s="342">
        <v>0</v>
      </c>
      <c r="E361" s="342">
        <v>0</v>
      </c>
      <c r="F361" s="342">
        <v>214548253.09</v>
      </c>
      <c r="G361" s="342">
        <f t="shared" si="5"/>
        <v>0</v>
      </c>
    </row>
    <row r="362" spans="1:7" ht="12.75">
      <c r="A362" s="341">
        <v>8310</v>
      </c>
      <c r="B362" s="341" t="s">
        <v>576</v>
      </c>
      <c r="C362" s="342">
        <v>56138039.14</v>
      </c>
      <c r="D362" s="342">
        <v>0</v>
      </c>
      <c r="E362" s="342">
        <v>0</v>
      </c>
      <c r="F362" s="342">
        <v>56138039.14</v>
      </c>
      <c r="G362" s="342">
        <f t="shared" si="5"/>
        <v>0</v>
      </c>
    </row>
    <row r="363" spans="1:7" ht="12.75">
      <c r="A363" s="341">
        <v>831005</v>
      </c>
      <c r="B363" s="341" t="s">
        <v>31</v>
      </c>
      <c r="C363" s="342">
        <v>15562674.14</v>
      </c>
      <c r="D363" s="342">
        <v>0</v>
      </c>
      <c r="E363" s="342">
        <v>0</v>
      </c>
      <c r="F363" s="342">
        <v>15562674.14</v>
      </c>
      <c r="G363" s="342">
        <f t="shared" si="5"/>
        <v>0</v>
      </c>
    </row>
    <row r="364" spans="1:7" ht="12.75">
      <c r="A364" s="341">
        <v>83100501</v>
      </c>
      <c r="B364" s="341" t="s">
        <v>577</v>
      </c>
      <c r="C364" s="342">
        <v>14587523.1</v>
      </c>
      <c r="D364" s="342">
        <v>0</v>
      </c>
      <c r="E364" s="342">
        <v>0</v>
      </c>
      <c r="F364" s="342">
        <v>14587523.1</v>
      </c>
      <c r="G364" s="342">
        <f t="shared" si="5"/>
        <v>0</v>
      </c>
    </row>
    <row r="365" spans="1:7" ht="12.75">
      <c r="A365" s="341">
        <v>83100502</v>
      </c>
      <c r="B365" s="341" t="s">
        <v>578</v>
      </c>
      <c r="C365" s="342">
        <v>975151.04</v>
      </c>
      <c r="D365" s="342">
        <v>0</v>
      </c>
      <c r="E365" s="342">
        <v>0</v>
      </c>
      <c r="F365" s="342">
        <v>975151.04</v>
      </c>
      <c r="G365" s="342">
        <f t="shared" si="5"/>
        <v>0</v>
      </c>
    </row>
    <row r="366" spans="1:7" ht="12.75">
      <c r="A366" s="341">
        <v>831015</v>
      </c>
      <c r="B366" s="341" t="s">
        <v>579</v>
      </c>
      <c r="C366" s="342">
        <v>40575365</v>
      </c>
      <c r="D366" s="342">
        <v>0</v>
      </c>
      <c r="E366" s="342">
        <v>0</v>
      </c>
      <c r="F366" s="342">
        <v>40575365</v>
      </c>
      <c r="G366" s="342">
        <f t="shared" si="5"/>
        <v>0</v>
      </c>
    </row>
    <row r="367" spans="1:7" ht="12.75">
      <c r="A367" s="341">
        <v>83101501</v>
      </c>
      <c r="B367" s="341" t="s">
        <v>580</v>
      </c>
      <c r="C367" s="342">
        <v>38997330</v>
      </c>
      <c r="D367" s="342">
        <v>0</v>
      </c>
      <c r="E367" s="342">
        <v>0</v>
      </c>
      <c r="F367" s="342">
        <v>38997330</v>
      </c>
      <c r="G367" s="342">
        <f t="shared" si="5"/>
        <v>0</v>
      </c>
    </row>
    <row r="368" spans="1:7" ht="12.75">
      <c r="A368" s="341">
        <v>83102501</v>
      </c>
      <c r="B368" s="341" t="s">
        <v>581</v>
      </c>
      <c r="C368" s="342">
        <v>196451</v>
      </c>
      <c r="D368" s="342">
        <v>0</v>
      </c>
      <c r="E368" s="342">
        <v>0</v>
      </c>
      <c r="F368" s="342">
        <v>196451</v>
      </c>
      <c r="G368" s="342">
        <f t="shared" si="5"/>
        <v>0</v>
      </c>
    </row>
    <row r="369" spans="1:7" ht="12.75">
      <c r="A369" s="341">
        <v>83102502</v>
      </c>
      <c r="B369" s="341" t="s">
        <v>582</v>
      </c>
      <c r="C369" s="342">
        <v>1381584</v>
      </c>
      <c r="D369" s="342">
        <v>0</v>
      </c>
      <c r="E369" s="342">
        <v>0</v>
      </c>
      <c r="F369" s="342">
        <v>1381584</v>
      </c>
      <c r="G369" s="342">
        <f t="shared" si="5"/>
        <v>0</v>
      </c>
    </row>
    <row r="370" spans="1:7" ht="12.75">
      <c r="A370" s="341">
        <v>8320</v>
      </c>
      <c r="B370" s="341" t="s">
        <v>583</v>
      </c>
      <c r="C370" s="342">
        <v>158410213.95</v>
      </c>
      <c r="D370" s="342">
        <v>0</v>
      </c>
      <c r="E370" s="342">
        <v>0</v>
      </c>
      <c r="F370" s="342">
        <v>158410213.95</v>
      </c>
      <c r="G370" s="342">
        <f t="shared" si="5"/>
        <v>0</v>
      </c>
    </row>
    <row r="371" spans="1:7" ht="12.75">
      <c r="A371" s="341">
        <v>83201001</v>
      </c>
      <c r="B371" s="341" t="s">
        <v>39</v>
      </c>
      <c r="C371" s="342">
        <v>17745986</v>
      </c>
      <c r="D371" s="342">
        <v>0</v>
      </c>
      <c r="E371" s="342">
        <v>0</v>
      </c>
      <c r="F371" s="342">
        <v>17745986</v>
      </c>
      <c r="G371" s="342">
        <f t="shared" si="5"/>
        <v>0</v>
      </c>
    </row>
    <row r="372" spans="1:7" ht="12.75">
      <c r="A372" s="341">
        <v>83201501</v>
      </c>
      <c r="B372" s="341" t="s">
        <v>584</v>
      </c>
      <c r="C372" s="342">
        <v>48869975</v>
      </c>
      <c r="D372" s="342">
        <v>0</v>
      </c>
      <c r="E372" s="342">
        <v>0</v>
      </c>
      <c r="F372" s="342">
        <v>48869975</v>
      </c>
      <c r="G372" s="342">
        <f t="shared" si="5"/>
        <v>0</v>
      </c>
    </row>
    <row r="373" spans="1:7" ht="12.75">
      <c r="A373" s="341">
        <v>83202001</v>
      </c>
      <c r="B373" s="341" t="s">
        <v>585</v>
      </c>
      <c r="C373" s="342">
        <v>91794252.95</v>
      </c>
      <c r="D373" s="342">
        <v>0</v>
      </c>
      <c r="E373" s="342">
        <v>0</v>
      </c>
      <c r="F373" s="342">
        <v>91794252.95</v>
      </c>
      <c r="G373" s="342">
        <f t="shared" si="5"/>
        <v>0</v>
      </c>
    </row>
    <row r="374" spans="1:7" ht="12.75">
      <c r="A374" s="341">
        <v>8600</v>
      </c>
      <c r="B374" s="341" t="s">
        <v>586</v>
      </c>
      <c r="C374" s="342">
        <v>-70642592</v>
      </c>
      <c r="D374" s="342">
        <v>4449602</v>
      </c>
      <c r="E374" s="342">
        <v>4205999</v>
      </c>
      <c r="F374" s="342">
        <v>-70398989</v>
      </c>
      <c r="G374" s="342">
        <f t="shared" si="5"/>
        <v>243603</v>
      </c>
    </row>
    <row r="375" spans="1:7" ht="12.75">
      <c r="A375" s="341">
        <v>86050101</v>
      </c>
      <c r="B375" s="341" t="s">
        <v>587</v>
      </c>
      <c r="C375" s="342">
        <v>-30067227</v>
      </c>
      <c r="D375" s="342">
        <v>4449602</v>
      </c>
      <c r="E375" s="342">
        <v>4205999</v>
      </c>
      <c r="F375" s="342">
        <v>-29823624</v>
      </c>
      <c r="G375" s="342">
        <f t="shared" si="5"/>
        <v>243603</v>
      </c>
    </row>
    <row r="376" spans="1:7" ht="12.75">
      <c r="A376" s="341">
        <v>88050101</v>
      </c>
      <c r="B376" s="341" t="s">
        <v>588</v>
      </c>
      <c r="C376" s="342">
        <v>-40575365</v>
      </c>
      <c r="D376" s="342">
        <v>0</v>
      </c>
      <c r="E376" s="342">
        <v>0</v>
      </c>
      <c r="F376" s="342">
        <v>-40575365</v>
      </c>
      <c r="G376" s="342">
        <f t="shared" si="5"/>
        <v>0</v>
      </c>
    </row>
    <row r="377" spans="1:7" ht="12.75">
      <c r="A377" s="341">
        <v>8800</v>
      </c>
      <c r="B377" s="341" t="s">
        <v>589</v>
      </c>
      <c r="C377" s="342">
        <v>-173972888.09</v>
      </c>
      <c r="D377" s="342">
        <v>0</v>
      </c>
      <c r="E377" s="342">
        <v>0</v>
      </c>
      <c r="F377" s="342">
        <v>-173972888.09</v>
      </c>
      <c r="G377" s="342">
        <f t="shared" si="5"/>
        <v>0</v>
      </c>
    </row>
    <row r="378" spans="1:7" ht="12.75">
      <c r="A378" s="341">
        <v>88050501</v>
      </c>
      <c r="B378" s="341" t="s">
        <v>590</v>
      </c>
      <c r="C378" s="342">
        <v>-17745986</v>
      </c>
      <c r="D378" s="342">
        <v>0</v>
      </c>
      <c r="E378" s="342">
        <v>0</v>
      </c>
      <c r="F378" s="342">
        <v>-17745986</v>
      </c>
      <c r="G378" s="342">
        <f t="shared" si="5"/>
        <v>0</v>
      </c>
    </row>
    <row r="379" spans="1:7" ht="12.75">
      <c r="A379" s="341">
        <v>88051001</v>
      </c>
      <c r="B379" s="341" t="s">
        <v>591</v>
      </c>
      <c r="C379" s="342">
        <v>-200000</v>
      </c>
      <c r="D379" s="342">
        <v>0</v>
      </c>
      <c r="E379" s="342">
        <v>0</v>
      </c>
      <c r="F379" s="342">
        <v>-200000</v>
      </c>
      <c r="G379" s="342">
        <f t="shared" si="5"/>
        <v>0</v>
      </c>
    </row>
    <row r="380" spans="1:7" ht="12.75">
      <c r="A380" s="341">
        <v>88051501</v>
      </c>
      <c r="B380" s="341" t="s">
        <v>592</v>
      </c>
      <c r="C380" s="342">
        <v>-48869975</v>
      </c>
      <c r="D380" s="342">
        <v>0</v>
      </c>
      <c r="E380" s="342">
        <v>0</v>
      </c>
      <c r="F380" s="342">
        <v>-48869975</v>
      </c>
      <c r="G380" s="342">
        <f t="shared" si="5"/>
        <v>0</v>
      </c>
    </row>
    <row r="381" spans="1:7" ht="12.75">
      <c r="A381" s="341">
        <v>88052001</v>
      </c>
      <c r="B381" s="341" t="s">
        <v>593</v>
      </c>
      <c r="C381" s="342">
        <v>-91594252.95</v>
      </c>
      <c r="D381" s="342">
        <v>0</v>
      </c>
      <c r="E381" s="342">
        <v>0</v>
      </c>
      <c r="F381" s="342">
        <v>-91594252.95</v>
      </c>
      <c r="G381" s="342">
        <f t="shared" si="5"/>
        <v>0</v>
      </c>
    </row>
    <row r="382" spans="1:7" ht="12.75">
      <c r="A382" s="341">
        <v>88052501</v>
      </c>
      <c r="B382" s="341" t="s">
        <v>577</v>
      </c>
      <c r="C382" s="342">
        <v>-14587523.1</v>
      </c>
      <c r="D382" s="342">
        <v>0</v>
      </c>
      <c r="E382" s="342">
        <v>0</v>
      </c>
      <c r="F382" s="342">
        <v>-14587523.1</v>
      </c>
      <c r="G382" s="342">
        <f t="shared" si="5"/>
        <v>0</v>
      </c>
    </row>
    <row r="383" spans="1:7" ht="12.75">
      <c r="A383" s="341">
        <v>88052502</v>
      </c>
      <c r="B383" s="341" t="s">
        <v>578</v>
      </c>
      <c r="C383" s="342">
        <v>-975151.04</v>
      </c>
      <c r="D383" s="342">
        <v>0</v>
      </c>
      <c r="E383" s="342">
        <v>0</v>
      </c>
      <c r="F383" s="342">
        <v>-975151.04</v>
      </c>
      <c r="G383" s="342">
        <f t="shared" si="5"/>
        <v>0</v>
      </c>
    </row>
    <row r="384" spans="1:7" ht="12.75">
      <c r="A384" s="341">
        <v>9100</v>
      </c>
      <c r="B384" s="341" t="s">
        <v>594</v>
      </c>
      <c r="C384" s="342">
        <v>1563914127</v>
      </c>
      <c r="D384" s="342">
        <v>0</v>
      </c>
      <c r="E384" s="342">
        <v>0</v>
      </c>
      <c r="F384" s="342">
        <v>1563914127</v>
      </c>
      <c r="G384" s="342">
        <f t="shared" si="5"/>
        <v>0</v>
      </c>
    </row>
    <row r="385" spans="1:7" ht="12.75">
      <c r="A385" s="341">
        <v>9110</v>
      </c>
      <c r="B385" s="341" t="s">
        <v>595</v>
      </c>
      <c r="C385" s="342">
        <v>1503129288</v>
      </c>
      <c r="D385" s="342">
        <v>0</v>
      </c>
      <c r="E385" s="342">
        <v>0</v>
      </c>
      <c r="F385" s="342">
        <v>1503129288</v>
      </c>
      <c r="G385" s="342">
        <f t="shared" si="5"/>
        <v>0</v>
      </c>
    </row>
    <row r="386" spans="1:7" ht="12.75">
      <c r="A386" s="341">
        <v>91100501</v>
      </c>
      <c r="B386" s="341" t="s">
        <v>596</v>
      </c>
      <c r="C386" s="342">
        <v>3225269822</v>
      </c>
      <c r="D386" s="342">
        <v>0</v>
      </c>
      <c r="E386" s="342">
        <v>0</v>
      </c>
      <c r="F386" s="342">
        <v>3225269822</v>
      </c>
      <c r="G386" s="342">
        <f t="shared" si="5"/>
        <v>0</v>
      </c>
    </row>
    <row r="387" spans="1:7" ht="12.75">
      <c r="A387" s="341">
        <v>91151001</v>
      </c>
      <c r="B387" s="341" t="s">
        <v>597</v>
      </c>
      <c r="C387" s="342">
        <v>-1722140534</v>
      </c>
      <c r="D387" s="342">
        <v>0</v>
      </c>
      <c r="E387" s="342">
        <v>0</v>
      </c>
      <c r="F387" s="342">
        <v>-1722140534</v>
      </c>
      <c r="G387" s="342">
        <f aca="true" t="shared" si="6" ref="G387:G396">+F387-C387</f>
        <v>0</v>
      </c>
    </row>
    <row r="388" spans="1:7" ht="12.75">
      <c r="A388" s="341">
        <v>9115</v>
      </c>
      <c r="B388" s="341" t="s">
        <v>598</v>
      </c>
      <c r="C388" s="342">
        <v>52848180</v>
      </c>
      <c r="D388" s="342">
        <v>0</v>
      </c>
      <c r="E388" s="342">
        <v>0</v>
      </c>
      <c r="F388" s="342">
        <v>52848180</v>
      </c>
      <c r="G388" s="342">
        <f t="shared" si="6"/>
        <v>0</v>
      </c>
    </row>
    <row r="389" spans="1:7" ht="12.75">
      <c r="A389" s="341">
        <v>91250501</v>
      </c>
      <c r="B389" s="341" t="s">
        <v>599</v>
      </c>
      <c r="C389" s="342">
        <v>52848180</v>
      </c>
      <c r="D389" s="342">
        <v>0</v>
      </c>
      <c r="E389" s="342">
        <v>0</v>
      </c>
      <c r="F389" s="342">
        <v>52848180</v>
      </c>
      <c r="G389" s="342">
        <f t="shared" si="6"/>
        <v>0</v>
      </c>
    </row>
    <row r="390" spans="1:7" ht="12.75">
      <c r="A390" s="341">
        <v>9125</v>
      </c>
      <c r="B390" s="341" t="s">
        <v>600</v>
      </c>
      <c r="C390" s="342">
        <v>7936659</v>
      </c>
      <c r="D390" s="342">
        <v>0</v>
      </c>
      <c r="E390" s="342">
        <v>0</v>
      </c>
      <c r="F390" s="342">
        <v>7936659</v>
      </c>
      <c r="G390" s="342">
        <f t="shared" si="6"/>
        <v>0</v>
      </c>
    </row>
    <row r="391" spans="1:7" ht="12.75">
      <c r="A391" s="341">
        <v>91858501</v>
      </c>
      <c r="B391" s="341" t="s">
        <v>367</v>
      </c>
      <c r="C391" s="342">
        <v>7936659</v>
      </c>
      <c r="D391" s="342">
        <v>0</v>
      </c>
      <c r="E391" s="342">
        <v>0</v>
      </c>
      <c r="F391" s="342">
        <v>7936659</v>
      </c>
      <c r="G391" s="342">
        <f t="shared" si="6"/>
        <v>0</v>
      </c>
    </row>
    <row r="392" spans="1:7" ht="12.75">
      <c r="A392" s="341">
        <v>9600</v>
      </c>
      <c r="B392" s="341" t="s">
        <v>601</v>
      </c>
      <c r="C392" s="342">
        <v>-1563914127</v>
      </c>
      <c r="D392" s="342">
        <v>0</v>
      </c>
      <c r="E392" s="342">
        <v>0</v>
      </c>
      <c r="F392" s="342">
        <v>-1563914127</v>
      </c>
      <c r="G392" s="342">
        <f t="shared" si="6"/>
        <v>0</v>
      </c>
    </row>
    <row r="393" spans="1:7" ht="12.75">
      <c r="A393" s="341">
        <v>9605</v>
      </c>
      <c r="B393" s="341" t="s">
        <v>602</v>
      </c>
      <c r="C393" s="342">
        <v>-1563914127</v>
      </c>
      <c r="D393" s="342">
        <v>0</v>
      </c>
      <c r="E393" s="342">
        <v>0</v>
      </c>
      <c r="F393" s="342">
        <v>-1563914127</v>
      </c>
      <c r="G393" s="342">
        <f t="shared" si="6"/>
        <v>0</v>
      </c>
    </row>
    <row r="394" spans="1:7" ht="12.75">
      <c r="A394" s="341">
        <v>81859501</v>
      </c>
      <c r="B394" s="341" t="s">
        <v>367</v>
      </c>
      <c r="C394" s="342">
        <v>-7936659</v>
      </c>
      <c r="D394" s="342">
        <v>0</v>
      </c>
      <c r="E394" s="342">
        <v>0</v>
      </c>
      <c r="F394" s="342">
        <v>-7936659</v>
      </c>
      <c r="G394" s="342">
        <f t="shared" si="6"/>
        <v>0</v>
      </c>
    </row>
    <row r="395" spans="1:7" ht="12.75">
      <c r="A395" s="341">
        <v>96050101</v>
      </c>
      <c r="B395" s="341" t="s">
        <v>603</v>
      </c>
      <c r="C395" s="342">
        <v>-52848180</v>
      </c>
      <c r="D395" s="342">
        <v>0</v>
      </c>
      <c r="E395" s="342">
        <v>0</v>
      </c>
      <c r="F395" s="342">
        <v>-52848180</v>
      </c>
      <c r="G395" s="342">
        <f t="shared" si="6"/>
        <v>0</v>
      </c>
    </row>
    <row r="396" spans="1:7" ht="12.75">
      <c r="A396" s="341">
        <v>96050102</v>
      </c>
      <c r="B396" s="341" t="s">
        <v>604</v>
      </c>
      <c r="C396" s="342">
        <v>-1503129288</v>
      </c>
      <c r="D396" s="342">
        <v>0</v>
      </c>
      <c r="E396" s="342">
        <v>0</v>
      </c>
      <c r="F396" s="342">
        <v>-1503129288</v>
      </c>
      <c r="G396" s="342">
        <f t="shared" si="6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O135"/>
  <sheetViews>
    <sheetView showGridLines="0" tabSelected="1" zoomScalePageLayoutView="0" workbookViewId="0" topLeftCell="A1">
      <selection activeCell="M88" sqref="M88"/>
    </sheetView>
  </sheetViews>
  <sheetFormatPr defaultColWidth="11.421875" defaultRowHeight="12.75"/>
  <cols>
    <col min="1" max="1" width="49.421875" style="0" customWidth="1"/>
    <col min="2" max="2" width="7.8515625" style="0" customWidth="1"/>
    <col min="3" max="3" width="2.28125" style="0" customWidth="1"/>
    <col min="4" max="4" width="19.7109375" style="0" customWidth="1"/>
    <col min="5" max="5" width="6.8515625" style="0" customWidth="1"/>
    <col min="6" max="6" width="19.28125" style="0" customWidth="1"/>
    <col min="7" max="7" width="6.7109375" style="0" customWidth="1"/>
    <col min="8" max="8" width="17.8515625" style="0" customWidth="1"/>
    <col min="9" max="9" width="2.00390625" style="0" customWidth="1"/>
    <col min="10" max="10" width="14.28125" style="0" customWidth="1"/>
    <col min="12" max="12" width="17.7109375" style="0" bestFit="1" customWidth="1"/>
    <col min="14" max="14" width="17.140625" style="0" customWidth="1"/>
    <col min="15" max="15" width="19.00390625" style="0" customWidth="1"/>
  </cols>
  <sheetData>
    <row r="1" ht="13.5" thickBot="1"/>
    <row r="2" spans="1:10" ht="15.75" thickTop="1">
      <c r="A2" s="470" t="s">
        <v>19</v>
      </c>
      <c r="B2" s="471"/>
      <c r="C2" s="471"/>
      <c r="D2" s="471"/>
      <c r="E2" s="471"/>
      <c r="F2" s="471"/>
      <c r="G2" s="471"/>
      <c r="H2" s="471"/>
      <c r="I2" s="471"/>
      <c r="J2" s="472"/>
    </row>
    <row r="3" spans="1:10" ht="12.75">
      <c r="A3" s="473" t="s">
        <v>214</v>
      </c>
      <c r="B3" s="474"/>
      <c r="C3" s="474"/>
      <c r="D3" s="474"/>
      <c r="E3" s="474"/>
      <c r="F3" s="474"/>
      <c r="G3" s="474"/>
      <c r="H3" s="474"/>
      <c r="I3" s="474"/>
      <c r="J3" s="475"/>
    </row>
    <row r="4" spans="1:10" ht="12.75">
      <c r="A4" s="461" t="s">
        <v>845</v>
      </c>
      <c r="B4" s="462"/>
      <c r="C4" s="462"/>
      <c r="D4" s="462"/>
      <c r="E4" s="462"/>
      <c r="F4" s="462"/>
      <c r="G4" s="462"/>
      <c r="H4" s="462"/>
      <c r="I4" s="462"/>
      <c r="J4" s="463"/>
    </row>
    <row r="5" spans="1:10" ht="13.5" thickBot="1">
      <c r="A5" s="465" t="s">
        <v>847</v>
      </c>
      <c r="B5" s="466"/>
      <c r="C5" s="466"/>
      <c r="D5" s="466"/>
      <c r="E5" s="466"/>
      <c r="F5" s="466"/>
      <c r="G5" s="466"/>
      <c r="H5" s="466"/>
      <c r="I5" s="466"/>
      <c r="J5" s="467"/>
    </row>
    <row r="6" spans="1:10" ht="8.25" customHeight="1" thickTop="1">
      <c r="A6" s="45"/>
      <c r="B6" s="46"/>
      <c r="C6" s="47"/>
      <c r="D6" s="47"/>
      <c r="E6" s="47"/>
      <c r="F6" s="48"/>
      <c r="G6" s="48"/>
      <c r="H6" s="48"/>
      <c r="I6" s="48"/>
      <c r="J6" s="49"/>
    </row>
    <row r="7" spans="1:10" ht="12.75">
      <c r="A7" s="50"/>
      <c r="B7" s="25"/>
      <c r="C7" s="1"/>
      <c r="D7" s="15"/>
      <c r="E7" s="1"/>
      <c r="F7" s="4"/>
      <c r="G7" s="4"/>
      <c r="H7" s="468" t="s">
        <v>147</v>
      </c>
      <c r="I7" s="468"/>
      <c r="J7" s="469"/>
    </row>
    <row r="8" spans="1:10" ht="12.75">
      <c r="A8" s="50" t="s">
        <v>0</v>
      </c>
      <c r="B8" s="86" t="s">
        <v>1</v>
      </c>
      <c r="C8" s="1"/>
      <c r="D8" s="15">
        <v>2022</v>
      </c>
      <c r="E8" s="1"/>
      <c r="F8" s="15">
        <v>2021</v>
      </c>
      <c r="G8" s="5"/>
      <c r="H8" s="83" t="s">
        <v>49</v>
      </c>
      <c r="I8" s="5"/>
      <c r="J8" s="84" t="s">
        <v>148</v>
      </c>
    </row>
    <row r="9" spans="1:10" ht="12.75">
      <c r="A9" s="50" t="s">
        <v>630</v>
      </c>
      <c r="B9" s="25"/>
      <c r="C9" s="1"/>
      <c r="D9" s="1"/>
      <c r="E9" s="1"/>
      <c r="F9" s="1"/>
      <c r="G9" s="5"/>
      <c r="H9" s="15"/>
      <c r="I9" s="5"/>
      <c r="J9" s="51"/>
    </row>
    <row r="10" spans="1:10" ht="12.75">
      <c r="A10" s="38"/>
      <c r="B10" s="25"/>
      <c r="C10" s="1"/>
      <c r="D10" s="1"/>
      <c r="E10" s="1"/>
      <c r="F10" s="1"/>
      <c r="G10" s="5"/>
      <c r="H10" s="5"/>
      <c r="I10" s="5"/>
      <c r="J10" s="51"/>
    </row>
    <row r="11" spans="1:10" ht="12.75">
      <c r="A11" s="50" t="s">
        <v>2</v>
      </c>
      <c r="B11" s="32"/>
      <c r="C11" s="6"/>
      <c r="D11" s="6"/>
      <c r="E11" s="81" t="s">
        <v>48</v>
      </c>
      <c r="F11" s="6"/>
      <c r="G11" s="81" t="s">
        <v>48</v>
      </c>
      <c r="H11" s="7"/>
      <c r="I11" s="7"/>
      <c r="J11" s="154" t="s">
        <v>48</v>
      </c>
    </row>
    <row r="12" spans="1:10" ht="12.75">
      <c r="A12" s="50"/>
      <c r="B12" s="32"/>
      <c r="C12" s="6"/>
      <c r="D12" s="6"/>
      <c r="E12" s="81"/>
      <c r="F12" s="6"/>
      <c r="G12" s="81"/>
      <c r="H12" s="7"/>
      <c r="I12" s="7"/>
      <c r="J12" s="154"/>
    </row>
    <row r="13" spans="1:10" ht="12.75">
      <c r="A13" s="43" t="s">
        <v>134</v>
      </c>
      <c r="B13" s="33" t="s">
        <v>0</v>
      </c>
      <c r="C13" s="6"/>
      <c r="D13" s="8">
        <v>1625524754</v>
      </c>
      <c r="E13" s="87">
        <f aca="true" t="shared" si="0" ref="E13:E19">+D13/$D$48*100</f>
        <v>19.364708500796425</v>
      </c>
      <c r="F13" s="8">
        <v>2396142392</v>
      </c>
      <c r="G13" s="87">
        <f>+F13/F48*100</f>
        <v>30.45394771267657</v>
      </c>
      <c r="H13" s="8">
        <f aca="true" t="shared" si="1" ref="H13:H18">D13-F13</f>
        <v>-770617638</v>
      </c>
      <c r="I13" s="8"/>
      <c r="J13" s="52">
        <f>H13*100/F13</f>
        <v>-32.16076142105999</v>
      </c>
    </row>
    <row r="14" spans="1:10" ht="12.75">
      <c r="A14" s="50" t="s">
        <v>628</v>
      </c>
      <c r="B14" s="86">
        <v>4</v>
      </c>
      <c r="C14" s="6"/>
      <c r="D14" s="23">
        <f>SUM(D13)</f>
        <v>1625524754</v>
      </c>
      <c r="E14" s="87">
        <f t="shared" si="0"/>
        <v>19.364708500796425</v>
      </c>
      <c r="F14" s="23">
        <f>SUM(F13)</f>
        <v>2396142392</v>
      </c>
      <c r="G14" s="87">
        <f>+F14/F48*100</f>
        <v>30.45394771267657</v>
      </c>
      <c r="H14" s="23">
        <f>D14-F14</f>
        <v>-770617638</v>
      </c>
      <c r="I14" s="8"/>
      <c r="J14" s="53">
        <f aca="true" t="shared" si="2" ref="J14:J19">H14*100/F14</f>
        <v>-32.16076142105999</v>
      </c>
    </row>
    <row r="15" spans="1:14" ht="12.75">
      <c r="A15" s="43" t="s">
        <v>135</v>
      </c>
      <c r="B15" s="33" t="s">
        <v>0</v>
      </c>
      <c r="C15" s="6"/>
      <c r="D15" s="8">
        <v>1665451784</v>
      </c>
      <c r="E15" s="87">
        <f t="shared" si="0"/>
        <v>19.840355085291662</v>
      </c>
      <c r="F15" s="8">
        <v>1487527124</v>
      </c>
      <c r="G15" s="87">
        <f>+F15/$F$48*100</f>
        <v>18.905835231967366</v>
      </c>
      <c r="H15" s="8">
        <f t="shared" si="1"/>
        <v>177924660</v>
      </c>
      <c r="I15" s="8"/>
      <c r="J15" s="52">
        <f>H15*100/F15</f>
        <v>11.961103574471695</v>
      </c>
      <c r="N15" s="209"/>
    </row>
    <row r="16" spans="1:14" ht="12.75">
      <c r="A16" s="43" t="s">
        <v>146</v>
      </c>
      <c r="B16" s="33" t="s">
        <v>0</v>
      </c>
      <c r="C16" s="6"/>
      <c r="D16" s="8">
        <v>79561447</v>
      </c>
      <c r="E16" s="87">
        <f t="shared" si="0"/>
        <v>0.9478073005442305</v>
      </c>
      <c r="F16" s="8">
        <v>87501306</v>
      </c>
      <c r="G16" s="87">
        <f>+F16/$F$48*100</f>
        <v>1.1121042750262868</v>
      </c>
      <c r="H16" s="8">
        <f t="shared" si="1"/>
        <v>-7939859</v>
      </c>
      <c r="I16" s="8"/>
      <c r="J16" s="52">
        <f t="shared" si="2"/>
        <v>-9.073989135659302</v>
      </c>
      <c r="N16" s="209"/>
    </row>
    <row r="17" spans="1:14" ht="12.75">
      <c r="A17" s="43" t="s">
        <v>149</v>
      </c>
      <c r="B17" s="33" t="s">
        <v>0</v>
      </c>
      <c r="C17" s="6"/>
      <c r="D17" s="174">
        <v>-44846134</v>
      </c>
      <c r="E17" s="87">
        <f t="shared" si="0"/>
        <v>-0.5342473623736989</v>
      </c>
      <c r="F17" s="174">
        <v>-44769482</v>
      </c>
      <c r="G17" s="87">
        <f>+F17/$F$48*100</f>
        <v>-0.5690010195152104</v>
      </c>
      <c r="H17" s="8">
        <f t="shared" si="1"/>
        <v>-76652</v>
      </c>
      <c r="I17" s="8"/>
      <c r="J17" s="52">
        <f t="shared" si="2"/>
        <v>0.17121484675654725</v>
      </c>
      <c r="N17" s="209"/>
    </row>
    <row r="18" spans="1:15" ht="12.75">
      <c r="A18" s="43" t="s">
        <v>150</v>
      </c>
      <c r="B18" s="32"/>
      <c r="C18" s="6"/>
      <c r="D18" s="174">
        <v>-51715857</v>
      </c>
      <c r="E18" s="87">
        <f t="shared" si="0"/>
        <v>-0.6160856629279436</v>
      </c>
      <c r="F18" s="174">
        <v>-60873664</v>
      </c>
      <c r="G18" s="87">
        <f>+F18/$F$48*100</f>
        <v>-0.7736783033948519</v>
      </c>
      <c r="H18" s="8">
        <f t="shared" si="1"/>
        <v>9157807</v>
      </c>
      <c r="I18" s="10"/>
      <c r="J18" s="52">
        <f t="shared" si="2"/>
        <v>-15.043955625868028</v>
      </c>
      <c r="N18" s="209"/>
      <c r="O18" s="209"/>
    </row>
    <row r="19" spans="1:14" ht="12.75">
      <c r="A19" s="50" t="s">
        <v>144</v>
      </c>
      <c r="B19" s="86">
        <v>5</v>
      </c>
      <c r="C19" s="6"/>
      <c r="D19" s="23">
        <f>SUM(D15:D18)</f>
        <v>1648451240</v>
      </c>
      <c r="E19" s="343">
        <f t="shared" si="0"/>
        <v>19.637829360534248</v>
      </c>
      <c r="F19" s="23">
        <f>SUM(F15:F18)</f>
        <v>1469385284</v>
      </c>
      <c r="G19" s="344">
        <f>+F19/$F$48*100</f>
        <v>18.67526018408359</v>
      </c>
      <c r="H19" s="23">
        <f>D19-F19</f>
        <v>179065956</v>
      </c>
      <c r="I19" s="10"/>
      <c r="J19" s="53">
        <f t="shared" si="2"/>
        <v>12.186453610896514</v>
      </c>
      <c r="N19" s="209"/>
    </row>
    <row r="20" spans="1:14" ht="12.75">
      <c r="A20" s="50"/>
      <c r="B20" s="86"/>
      <c r="C20" s="6"/>
      <c r="D20" s="73"/>
      <c r="E20" s="87"/>
      <c r="F20" s="73"/>
      <c r="G20" s="87"/>
      <c r="H20" s="10"/>
      <c r="I20" s="10"/>
      <c r="J20" s="52"/>
      <c r="N20" s="209"/>
    </row>
    <row r="21" spans="1:15" ht="12.75">
      <c r="A21" s="50" t="s">
        <v>136</v>
      </c>
      <c r="B21" s="32"/>
      <c r="C21" s="6"/>
      <c r="D21" s="73"/>
      <c r="E21" s="10"/>
      <c r="F21" s="73"/>
      <c r="G21" s="87" t="s">
        <v>0</v>
      </c>
      <c r="H21" s="8" t="s">
        <v>0</v>
      </c>
      <c r="I21" s="10"/>
      <c r="J21" s="52" t="s">
        <v>0</v>
      </c>
      <c r="N21" s="209"/>
      <c r="O21" s="209"/>
    </row>
    <row r="22" spans="1:10" ht="12.75">
      <c r="A22" s="43" t="s">
        <v>151</v>
      </c>
      <c r="B22" s="33" t="s">
        <v>0</v>
      </c>
      <c r="C22" s="6"/>
      <c r="D22" s="8">
        <v>6203596</v>
      </c>
      <c r="E22" s="87">
        <f>+D22/$D$48*100</f>
        <v>0.07390279840469702</v>
      </c>
      <c r="F22" s="8">
        <v>22751307</v>
      </c>
      <c r="G22" s="87">
        <f>+F22/$F$48*100</f>
        <v>0.28915940725656697</v>
      </c>
      <c r="H22" s="8">
        <f>D22-F22</f>
        <v>-16547711</v>
      </c>
      <c r="I22" s="10"/>
      <c r="J22" s="52">
        <f>H22*100/F22</f>
        <v>-72.73301265725085</v>
      </c>
    </row>
    <row r="23" spans="1:10" ht="0.75" customHeight="1">
      <c r="A23" s="43" t="s">
        <v>29</v>
      </c>
      <c r="B23" s="86" t="s">
        <v>0</v>
      </c>
      <c r="C23" s="6"/>
      <c r="D23" s="71">
        <v>0</v>
      </c>
      <c r="E23" s="87">
        <f>+D23/$D$48*100</f>
        <v>0</v>
      </c>
      <c r="F23" s="71">
        <v>0</v>
      </c>
      <c r="G23" s="87">
        <f>+F23/$F$48*100</f>
        <v>0</v>
      </c>
      <c r="H23" s="71">
        <f>D23-F23</f>
        <v>0</v>
      </c>
      <c r="I23" s="10"/>
      <c r="J23" s="52">
        <v>0</v>
      </c>
    </row>
    <row r="24" spans="1:10" ht="13.5" customHeight="1">
      <c r="A24" s="43"/>
      <c r="B24" s="86"/>
      <c r="C24" s="6"/>
      <c r="D24" s="71"/>
      <c r="E24" s="87"/>
      <c r="F24" s="71"/>
      <c r="G24" s="87"/>
      <c r="H24" s="8"/>
      <c r="I24" s="10"/>
      <c r="J24" s="52"/>
    </row>
    <row r="25" spans="1:10" ht="12.75">
      <c r="A25" s="50" t="s">
        <v>137</v>
      </c>
      <c r="B25" s="86">
        <v>6</v>
      </c>
      <c r="C25" s="1"/>
      <c r="D25" s="23">
        <f>SUM(D22:D24)</f>
        <v>6203596</v>
      </c>
      <c r="E25" s="343">
        <f>+D25/$D$48*100</f>
        <v>0.07390279840469702</v>
      </c>
      <c r="F25" s="23">
        <f>SUM(F22:F24)</f>
        <v>22751307</v>
      </c>
      <c r="G25" s="343">
        <f>+F25/$F$48*100</f>
        <v>0.28915940725656697</v>
      </c>
      <c r="H25" s="23">
        <f>D25-F25</f>
        <v>-16547711</v>
      </c>
      <c r="I25" s="10"/>
      <c r="J25" s="53">
        <f>H25*100/F25</f>
        <v>-72.73301265725085</v>
      </c>
    </row>
    <row r="26" spans="1:10" ht="12.75">
      <c r="A26" s="50" t="s">
        <v>0</v>
      </c>
      <c r="B26" s="33"/>
      <c r="C26" s="1"/>
      <c r="D26" s="73"/>
      <c r="E26" s="88"/>
      <c r="F26" s="73"/>
      <c r="G26" s="70"/>
      <c r="H26" s="8"/>
      <c r="I26" s="10"/>
      <c r="J26" s="54"/>
    </row>
    <row r="27" spans="1:10" ht="12.75">
      <c r="A27" s="50" t="s">
        <v>629</v>
      </c>
      <c r="B27" s="86" t="s">
        <v>0</v>
      </c>
      <c r="C27" s="1"/>
      <c r="D27" s="23">
        <f>SUM(D14+D19+D25)</f>
        <v>3280179590</v>
      </c>
      <c r="E27" s="343">
        <f>+D27/$D$48*100</f>
        <v>39.076440659735376</v>
      </c>
      <c r="F27" s="23">
        <f>SUM(F14+F19+F25)</f>
        <v>3888278983</v>
      </c>
      <c r="G27" s="343">
        <f>+F27/$F$48*100</f>
        <v>49.41836730401673</v>
      </c>
      <c r="H27" s="23">
        <f>D27-F27</f>
        <v>-608099393</v>
      </c>
      <c r="I27" s="10"/>
      <c r="J27" s="53">
        <f>H27*100/F27</f>
        <v>-15.639294290833554</v>
      </c>
    </row>
    <row r="28" spans="1:10" ht="12.75" customHeight="1">
      <c r="A28" s="50"/>
      <c r="B28" s="33"/>
      <c r="C28" s="1"/>
      <c r="D28" s="73"/>
      <c r="E28" s="10"/>
      <c r="F28" s="73"/>
      <c r="G28" s="87"/>
      <c r="H28" s="8" t="s">
        <v>0</v>
      </c>
      <c r="I28" s="10"/>
      <c r="J28" s="82" t="s">
        <v>0</v>
      </c>
    </row>
    <row r="29" spans="1:10" ht="12.75" customHeight="1">
      <c r="A29" s="50" t="s">
        <v>631</v>
      </c>
      <c r="B29" s="33"/>
      <c r="C29" s="1"/>
      <c r="D29" s="73"/>
      <c r="E29" s="10"/>
      <c r="F29" s="73"/>
      <c r="G29" s="87"/>
      <c r="H29" s="8"/>
      <c r="I29" s="10"/>
      <c r="J29" s="54"/>
    </row>
    <row r="30" spans="1:12" ht="12.75" customHeight="1">
      <c r="A30" s="50"/>
      <c r="B30" s="33"/>
      <c r="C30" s="1"/>
      <c r="D30" s="73"/>
      <c r="E30" s="10"/>
      <c r="F30" s="73"/>
      <c r="G30" s="87"/>
      <c r="H30" s="8"/>
      <c r="I30" s="10"/>
      <c r="J30" s="54"/>
      <c r="L30" s="209"/>
    </row>
    <row r="31" spans="1:10" ht="14.25" customHeight="1">
      <c r="A31" s="43" t="s">
        <v>152</v>
      </c>
      <c r="B31" s="33"/>
      <c r="C31" s="1"/>
      <c r="D31" s="8">
        <v>4701292322</v>
      </c>
      <c r="E31" s="10"/>
      <c r="F31" s="8">
        <v>3468903563</v>
      </c>
      <c r="G31" s="87"/>
      <c r="H31" s="8">
        <f>D31-F31</f>
        <v>1232388759</v>
      </c>
      <c r="I31" s="10"/>
      <c r="J31" s="52">
        <f>H31*100/F31</f>
        <v>35.52675179975881</v>
      </c>
    </row>
    <row r="32" spans="1:10" ht="14.25" customHeight="1">
      <c r="A32" s="43" t="s">
        <v>705</v>
      </c>
      <c r="B32" s="33"/>
      <c r="C32" s="1"/>
      <c r="D32" s="8">
        <v>-126593149</v>
      </c>
      <c r="E32" s="10"/>
      <c r="F32" s="8">
        <v>-104402141</v>
      </c>
      <c r="G32" s="87"/>
      <c r="H32" s="8">
        <f>D32-F32</f>
        <v>-22191008</v>
      </c>
      <c r="I32" s="10"/>
      <c r="J32" s="110">
        <f>H32*100/F32</f>
        <v>21.25531889235873</v>
      </c>
    </row>
    <row r="33" spans="1:15" ht="14.25" customHeight="1">
      <c r="A33" s="50" t="s">
        <v>632</v>
      </c>
      <c r="B33" s="86">
        <v>5</v>
      </c>
      <c r="C33" s="1"/>
      <c r="D33" s="23">
        <f>SUM(D31:D32)</f>
        <v>4574699173</v>
      </c>
      <c r="E33" s="343">
        <f>+D33/$D$48*100</f>
        <v>54.49791874653881</v>
      </c>
      <c r="F33" s="23">
        <f>SUM(F31:F32)</f>
        <v>3364501422</v>
      </c>
      <c r="G33" s="343">
        <f>+F33/$F$48*100</f>
        <v>42.761377924327455</v>
      </c>
      <c r="H33" s="23">
        <f>D33-F33</f>
        <v>1210197751</v>
      </c>
      <c r="I33" s="10"/>
      <c r="J33" s="53">
        <f>H33*100/F33</f>
        <v>35.9696014121643</v>
      </c>
      <c r="O33" s="210"/>
    </row>
    <row r="34" spans="1:10" ht="12.75">
      <c r="A34" s="50"/>
      <c r="B34" s="32"/>
      <c r="C34" s="6"/>
      <c r="E34" s="6"/>
      <c r="F34" s="74"/>
      <c r="G34" s="87"/>
      <c r="H34" s="8"/>
      <c r="I34" s="10"/>
      <c r="J34" s="54"/>
    </row>
    <row r="35" spans="1:12" ht="12.75">
      <c r="A35" s="50" t="s">
        <v>153</v>
      </c>
      <c r="B35" s="32"/>
      <c r="C35" s="6"/>
      <c r="E35" s="6"/>
      <c r="F35" s="74"/>
      <c r="G35" s="87"/>
      <c r="H35" s="8"/>
      <c r="I35" s="10"/>
      <c r="J35" s="54"/>
      <c r="L35" s="123"/>
    </row>
    <row r="36" spans="1:10" ht="12.75">
      <c r="A36" s="43" t="s">
        <v>38</v>
      </c>
      <c r="B36" s="33" t="s">
        <v>0</v>
      </c>
      <c r="C36" s="6"/>
      <c r="D36" s="8">
        <v>527849000</v>
      </c>
      <c r="E36" s="87">
        <f aca="true" t="shared" si="3" ref="E36:E41">+D36/$D$48*100</f>
        <v>6.288210617699947</v>
      </c>
      <c r="F36" s="8">
        <v>527849000</v>
      </c>
      <c r="G36" s="87">
        <f aca="true" t="shared" si="4" ref="G36:G41">+F36/$F$48*100</f>
        <v>6.708735632681305</v>
      </c>
      <c r="H36" s="8">
        <f aca="true" t="shared" si="5" ref="H36:H41">D36-F36</f>
        <v>0</v>
      </c>
      <c r="I36" s="10"/>
      <c r="J36" s="52">
        <f aca="true" t="shared" si="6" ref="J36:J41">H36*100/F36</f>
        <v>0</v>
      </c>
    </row>
    <row r="37" spans="1:10" ht="12.75">
      <c r="A37" s="38" t="s">
        <v>39</v>
      </c>
      <c r="B37" s="33" t="s">
        <v>0</v>
      </c>
      <c r="C37" s="6"/>
      <c r="D37" s="8">
        <v>126901000</v>
      </c>
      <c r="E37" s="87">
        <f t="shared" si="3"/>
        <v>1.5117585059301826</v>
      </c>
      <c r="F37" s="8">
        <v>126901000</v>
      </c>
      <c r="G37" s="87">
        <f t="shared" si="4"/>
        <v>1.6128575795784215</v>
      </c>
      <c r="H37" s="8">
        <f t="shared" si="5"/>
        <v>0</v>
      </c>
      <c r="I37" s="13"/>
      <c r="J37" s="52">
        <f t="shared" si="6"/>
        <v>0</v>
      </c>
    </row>
    <row r="38" spans="1:10" ht="12.75">
      <c r="A38" s="38" t="s">
        <v>154</v>
      </c>
      <c r="B38" s="33" t="s">
        <v>0</v>
      </c>
      <c r="C38" s="6"/>
      <c r="D38" s="8">
        <v>32986084</v>
      </c>
      <c r="E38" s="87">
        <f t="shared" si="3"/>
        <v>0.39295981169831207</v>
      </c>
      <c r="F38" s="8">
        <v>32986084</v>
      </c>
      <c r="G38" s="87">
        <f t="shared" si="4"/>
        <v>0.419239057217914</v>
      </c>
      <c r="H38" s="8">
        <f t="shared" si="5"/>
        <v>0</v>
      </c>
      <c r="I38" s="13"/>
      <c r="J38" s="52">
        <f t="shared" si="6"/>
        <v>0</v>
      </c>
    </row>
    <row r="39" spans="1:10" ht="12.75">
      <c r="A39" s="38" t="s">
        <v>155</v>
      </c>
      <c r="B39" s="33" t="s">
        <v>0</v>
      </c>
      <c r="C39" s="6"/>
      <c r="D39" s="8">
        <v>83934387</v>
      </c>
      <c r="E39" s="87">
        <f t="shared" si="3"/>
        <v>0.9999016831016755</v>
      </c>
      <c r="F39" s="8">
        <v>81701947</v>
      </c>
      <c r="G39" s="87">
        <f t="shared" si="4"/>
        <v>1.0383968958894294</v>
      </c>
      <c r="H39" s="8">
        <f t="shared" si="5"/>
        <v>2232440</v>
      </c>
      <c r="I39" s="13"/>
      <c r="J39" s="52">
        <f t="shared" si="6"/>
        <v>2.7324195835871574</v>
      </c>
    </row>
    <row r="40" spans="1:10" ht="12.75">
      <c r="A40" s="38" t="s">
        <v>156</v>
      </c>
      <c r="B40" s="33" t="s">
        <v>0</v>
      </c>
      <c r="C40" s="6"/>
      <c r="D40" s="174">
        <v>-232285236</v>
      </c>
      <c r="E40" s="87">
        <f t="shared" si="3"/>
        <v>-2.7671900247042958</v>
      </c>
      <c r="F40" s="174">
        <v>-220215116</v>
      </c>
      <c r="G40" s="87">
        <f t="shared" si="4"/>
        <v>-2.7988401902139572</v>
      </c>
      <c r="H40" s="8">
        <f t="shared" si="5"/>
        <v>-12070120</v>
      </c>
      <c r="I40" s="13"/>
      <c r="J40" s="52">
        <f t="shared" si="6"/>
        <v>5.481058802521077</v>
      </c>
    </row>
    <row r="41" spans="1:10" ht="12.75">
      <c r="A41" s="50" t="s">
        <v>157</v>
      </c>
      <c r="B41" s="86">
        <v>7</v>
      </c>
      <c r="C41" s="6"/>
      <c r="D41" s="23">
        <f>SUM(D36:D40)</f>
        <v>539385235</v>
      </c>
      <c r="E41" s="343">
        <f t="shared" si="3"/>
        <v>6.42564059372582</v>
      </c>
      <c r="F41" s="23">
        <f>SUM(F36:F40)</f>
        <v>549222915</v>
      </c>
      <c r="G41" s="344">
        <f t="shared" si="4"/>
        <v>6.980388975153113</v>
      </c>
      <c r="H41" s="23">
        <f t="shared" si="5"/>
        <v>-9837680</v>
      </c>
      <c r="I41" s="10"/>
      <c r="J41" s="53">
        <f t="shared" si="6"/>
        <v>-1.7911998446022594</v>
      </c>
    </row>
    <row r="42" spans="1:10" ht="12.75">
      <c r="A42" s="50"/>
      <c r="B42" s="86"/>
      <c r="C42" s="6"/>
      <c r="D42" s="73"/>
      <c r="E42" s="87"/>
      <c r="F42" s="73"/>
      <c r="G42" s="87"/>
      <c r="H42" s="10"/>
      <c r="I42" s="10"/>
      <c r="J42" s="54"/>
    </row>
    <row r="43" spans="1:10" ht="12.75">
      <c r="A43" s="50" t="s">
        <v>143</v>
      </c>
      <c r="C43" s="6"/>
      <c r="D43" s="73"/>
      <c r="E43" s="87"/>
      <c r="F43" s="73"/>
      <c r="G43" s="87"/>
      <c r="H43" s="10"/>
      <c r="I43" s="10"/>
      <c r="J43" s="54"/>
    </row>
    <row r="44" spans="1:10" ht="12.75">
      <c r="A44" s="43" t="s">
        <v>158</v>
      </c>
      <c r="B44" s="32"/>
      <c r="C44" s="6"/>
      <c r="D44" s="8">
        <v>0</v>
      </c>
      <c r="E44" s="70">
        <f>+D44/D48</f>
        <v>0</v>
      </c>
      <c r="F44" s="8">
        <v>136261122</v>
      </c>
      <c r="G44" s="70">
        <f>+F44/F48</f>
        <v>0.01731820737579373</v>
      </c>
      <c r="H44" s="8">
        <f>D44-F44</f>
        <v>-136261122</v>
      </c>
      <c r="I44" s="10"/>
      <c r="J44" s="52">
        <f>H44*100/F44</f>
        <v>-100</v>
      </c>
    </row>
    <row r="45" spans="1:10" ht="12.75">
      <c r="A45" s="43" t="s">
        <v>159</v>
      </c>
      <c r="B45" s="32"/>
      <c r="C45" s="6"/>
      <c r="D45" s="8">
        <v>0</v>
      </c>
      <c r="E45" s="70">
        <f>+D45/D48</f>
        <v>0</v>
      </c>
      <c r="F45" s="8">
        <v>-70179770</v>
      </c>
      <c r="G45" s="70">
        <f>+F45/F48</f>
        <v>-0.008919549410766687</v>
      </c>
      <c r="H45" s="8">
        <f>D45-F45</f>
        <v>70179770</v>
      </c>
      <c r="I45" s="10"/>
      <c r="J45" s="52">
        <f>H45*100/F45</f>
        <v>-100</v>
      </c>
    </row>
    <row r="46" spans="1:10" ht="12.75">
      <c r="A46" s="50" t="s">
        <v>706</v>
      </c>
      <c r="B46" s="86"/>
      <c r="C46" s="6"/>
      <c r="D46" s="23">
        <f>SUM(D44:D45)</f>
        <v>0</v>
      </c>
      <c r="E46" s="418">
        <f>+D46/D48</f>
        <v>0</v>
      </c>
      <c r="F46" s="23">
        <f>SUM(F44:F45)</f>
        <v>66081352</v>
      </c>
      <c r="G46" s="418">
        <f>+F46/F48</f>
        <v>0.008398657965027045</v>
      </c>
      <c r="H46" s="23">
        <f>+D46-F46</f>
        <v>-66081352</v>
      </c>
      <c r="I46" s="10"/>
      <c r="J46" s="53">
        <f>H46*100/F46</f>
        <v>-100</v>
      </c>
    </row>
    <row r="47" spans="1:10" ht="12.75">
      <c r="A47" s="55"/>
      <c r="B47" s="32"/>
      <c r="C47" s="6"/>
      <c r="D47" s="73"/>
      <c r="E47" s="6"/>
      <c r="F47" s="73"/>
      <c r="G47" s="70"/>
      <c r="H47" s="8"/>
      <c r="I47" s="10"/>
      <c r="J47" s="54"/>
    </row>
    <row r="48" spans="1:12" ht="13.5" thickBot="1">
      <c r="A48" s="36" t="s">
        <v>46</v>
      </c>
      <c r="B48" s="33" t="s">
        <v>0</v>
      </c>
      <c r="C48" s="17"/>
      <c r="D48" s="21">
        <f>SUM(D27+D41+D44+D33+D45)</f>
        <v>8394263998</v>
      </c>
      <c r="E48" s="343">
        <f>+D48/$D$48*100</f>
        <v>100</v>
      </c>
      <c r="F48" s="21">
        <f>SUM(F27+F41+F44+F33+F45)</f>
        <v>7868084672</v>
      </c>
      <c r="G48" s="343">
        <f>+F48/$F$48*100</f>
        <v>100</v>
      </c>
      <c r="H48" s="21">
        <f>D48-F48</f>
        <v>526179326</v>
      </c>
      <c r="I48" s="10"/>
      <c r="J48" s="53">
        <f>H48*100/F48</f>
        <v>6.687514788351276</v>
      </c>
      <c r="L48" s="346"/>
    </row>
    <row r="49" spans="1:10" ht="13.5" thickTop="1">
      <c r="A49" s="38" t="s">
        <v>47</v>
      </c>
      <c r="B49" s="34"/>
      <c r="C49" s="17"/>
      <c r="D49" s="8">
        <f>500*1000000</f>
        <v>500000000</v>
      </c>
      <c r="E49" s="17"/>
      <c r="F49" s="8">
        <f>500*908577</f>
        <v>454288500</v>
      </c>
      <c r="G49" s="12"/>
      <c r="H49" s="8">
        <f>D49-F49</f>
        <v>45711500</v>
      </c>
      <c r="I49" s="12"/>
      <c r="J49" s="52">
        <f>H49*100/F49</f>
        <v>10.062218171932594</v>
      </c>
    </row>
    <row r="50" spans="1:10" ht="12.75">
      <c r="A50" s="57"/>
      <c r="B50" s="27"/>
      <c r="C50" s="17"/>
      <c r="D50" s="17"/>
      <c r="E50" s="17"/>
      <c r="F50" s="58"/>
      <c r="G50" s="39"/>
      <c r="H50" s="39"/>
      <c r="I50" s="39"/>
      <c r="J50" s="59"/>
    </row>
    <row r="51" spans="1:10" ht="13.5" thickBot="1">
      <c r="A51" s="40" t="s">
        <v>852</v>
      </c>
      <c r="B51" s="65"/>
      <c r="C51" s="66"/>
      <c r="D51" s="78"/>
      <c r="E51" s="66"/>
      <c r="F51" s="79"/>
      <c r="G51" s="80"/>
      <c r="H51" s="80"/>
      <c r="I51" s="80"/>
      <c r="J51" s="60"/>
    </row>
    <row r="52" spans="1:10" ht="13.5" thickTop="1">
      <c r="A52" s="3"/>
      <c r="B52" s="28"/>
      <c r="C52" s="18"/>
      <c r="D52" s="18"/>
      <c r="E52" s="18"/>
      <c r="F52" s="19"/>
      <c r="G52" s="20"/>
      <c r="H52" s="20"/>
      <c r="I52" s="20"/>
      <c r="J52" s="30"/>
    </row>
    <row r="53" spans="1:10" ht="12.75">
      <c r="A53" s="3"/>
      <c r="B53" s="28"/>
      <c r="C53" s="18"/>
      <c r="D53" s="18"/>
      <c r="E53" s="18"/>
      <c r="F53" s="19"/>
      <c r="G53" s="20"/>
      <c r="H53" s="20"/>
      <c r="I53" s="20"/>
      <c r="J53" s="30"/>
    </row>
    <row r="54" spans="1:10" ht="12.75">
      <c r="A54" s="14" t="s">
        <v>18</v>
      </c>
      <c r="B54" s="28"/>
      <c r="C54" s="18"/>
      <c r="D54" s="18"/>
      <c r="E54" s="18"/>
      <c r="F54" s="19"/>
      <c r="G54" s="20"/>
      <c r="H54" s="20"/>
      <c r="I54" s="20"/>
      <c r="J54" s="30"/>
    </row>
    <row r="55" spans="1:10" ht="13.5" thickBot="1">
      <c r="A55" s="14"/>
      <c r="B55" s="28"/>
      <c r="C55" s="18"/>
      <c r="D55" s="18"/>
      <c r="E55" s="18"/>
      <c r="F55" s="19"/>
      <c r="G55" s="20"/>
      <c r="H55" s="20"/>
      <c r="I55" s="20"/>
      <c r="J55" s="30"/>
    </row>
    <row r="56" spans="1:10" ht="15.75" thickTop="1">
      <c r="A56" s="470" t="s">
        <v>19</v>
      </c>
      <c r="B56" s="471"/>
      <c r="C56" s="471"/>
      <c r="D56" s="471"/>
      <c r="E56" s="471"/>
      <c r="F56" s="471"/>
      <c r="G56" s="471"/>
      <c r="H56" s="471"/>
      <c r="I56" s="471"/>
      <c r="J56" s="472"/>
    </row>
    <row r="57" spans="1:10" ht="12.75">
      <c r="A57" s="473" t="s">
        <v>214</v>
      </c>
      <c r="B57" s="474"/>
      <c r="C57" s="474"/>
      <c r="D57" s="474"/>
      <c r="E57" s="474"/>
      <c r="F57" s="474"/>
      <c r="G57" s="474"/>
      <c r="H57" s="474"/>
      <c r="I57" s="474"/>
      <c r="J57" s="475"/>
    </row>
    <row r="58" spans="1:10" ht="12.75">
      <c r="A58" s="461" t="s">
        <v>845</v>
      </c>
      <c r="B58" s="462"/>
      <c r="C58" s="462"/>
      <c r="D58" s="462"/>
      <c r="E58" s="462"/>
      <c r="F58" s="462"/>
      <c r="G58" s="462"/>
      <c r="H58" s="462"/>
      <c r="I58" s="462"/>
      <c r="J58" s="463"/>
    </row>
    <row r="59" spans="1:10" ht="13.5" thickBot="1">
      <c r="A59" s="465" t="s">
        <v>847</v>
      </c>
      <c r="B59" s="466"/>
      <c r="C59" s="466"/>
      <c r="D59" s="466"/>
      <c r="E59" s="466"/>
      <c r="F59" s="466"/>
      <c r="G59" s="466"/>
      <c r="H59" s="466"/>
      <c r="I59" s="466"/>
      <c r="J59" s="467"/>
    </row>
    <row r="60" spans="1:10" ht="13.5" thickTop="1">
      <c r="A60" s="45"/>
      <c r="B60" s="46"/>
      <c r="C60" s="47"/>
      <c r="D60" s="47"/>
      <c r="E60" s="47"/>
      <c r="F60" s="48"/>
      <c r="G60" s="48"/>
      <c r="H60" s="48"/>
      <c r="I60" s="48"/>
      <c r="J60" s="49"/>
    </row>
    <row r="61" spans="1:10" ht="12.75">
      <c r="A61" s="50"/>
      <c r="B61" s="25"/>
      <c r="C61" s="1"/>
      <c r="D61" s="15"/>
      <c r="E61" s="1"/>
      <c r="F61" s="4"/>
      <c r="G61" s="4"/>
      <c r="H61" s="468" t="s">
        <v>147</v>
      </c>
      <c r="I61" s="468"/>
      <c r="J61" s="469"/>
    </row>
    <row r="62" spans="1:10" ht="12.75">
      <c r="A62" s="50" t="s">
        <v>0</v>
      </c>
      <c r="B62" s="86" t="s">
        <v>1</v>
      </c>
      <c r="C62" s="1"/>
      <c r="D62" s="15">
        <v>2022</v>
      </c>
      <c r="E62" s="1"/>
      <c r="F62" s="15">
        <v>2021</v>
      </c>
      <c r="G62" s="5"/>
      <c r="H62" s="83" t="s">
        <v>49</v>
      </c>
      <c r="I62" s="5"/>
      <c r="J62" s="84" t="s">
        <v>148</v>
      </c>
    </row>
    <row r="63" spans="1:10" ht="12.75">
      <c r="A63" s="50" t="s">
        <v>138</v>
      </c>
      <c r="B63" s="25"/>
      <c r="C63" s="1"/>
      <c r="D63" s="1"/>
      <c r="E63" s="1"/>
      <c r="F63" s="1"/>
      <c r="G63" s="5"/>
      <c r="H63" s="15"/>
      <c r="I63" s="5"/>
      <c r="J63" s="51"/>
    </row>
    <row r="64" spans="1:10" ht="12.75">
      <c r="A64" s="38"/>
      <c r="B64" s="25"/>
      <c r="C64" s="1"/>
      <c r="D64" s="1"/>
      <c r="E64" s="1"/>
      <c r="F64" s="1"/>
      <c r="G64" s="5"/>
      <c r="H64" s="5"/>
      <c r="I64" s="5"/>
      <c r="J64" s="51"/>
    </row>
    <row r="65" spans="1:10" ht="12.75">
      <c r="A65" s="50" t="s">
        <v>51</v>
      </c>
      <c r="B65" s="32"/>
      <c r="C65" s="6"/>
      <c r="D65" s="6"/>
      <c r="E65" s="81" t="s">
        <v>48</v>
      </c>
      <c r="F65" s="6"/>
      <c r="G65" s="81" t="s">
        <v>48</v>
      </c>
      <c r="H65" s="7"/>
      <c r="I65" s="7"/>
      <c r="J65" s="154" t="s">
        <v>48</v>
      </c>
    </row>
    <row r="66" spans="1:10" ht="0.75" customHeight="1">
      <c r="A66" s="43" t="s">
        <v>133</v>
      </c>
      <c r="B66" s="32"/>
      <c r="C66" s="6"/>
      <c r="D66" s="8">
        <v>0</v>
      </c>
      <c r="E66" s="87">
        <f>+D66/$D$80*100</f>
        <v>0</v>
      </c>
      <c r="F66" s="8">
        <v>0</v>
      </c>
      <c r="G66" s="87">
        <f>+F66/$F$81*100</f>
        <v>0</v>
      </c>
      <c r="H66" s="8">
        <f>D66-F66</f>
        <v>0</v>
      </c>
      <c r="I66" s="7"/>
      <c r="J66" s="52">
        <v>0</v>
      </c>
    </row>
    <row r="67" spans="1:12" ht="12.75">
      <c r="A67" s="43" t="s">
        <v>140</v>
      </c>
      <c r="B67" s="33" t="s">
        <v>0</v>
      </c>
      <c r="C67" s="6"/>
      <c r="D67" s="8">
        <f>+'BCE DIC 2022'!H140+'BCE DIC 2022'!F146+'BCE DIC 2022'!F164+'BCE DIC 2022'!F177</f>
        <v>36392748.75</v>
      </c>
      <c r="E67" s="87">
        <f>+D67/$D$81*100</f>
        <v>25.81636879208678</v>
      </c>
      <c r="F67" s="8">
        <f>+'BCE DIC 2021'!F161+'BCE DIC 2021'!F180+'BCE DIC 2021'!F192</f>
        <v>89302437.83</v>
      </c>
      <c r="G67" s="87">
        <f>+F67/$F$81*100</f>
        <v>40.621191726793306</v>
      </c>
      <c r="H67" s="8">
        <f>D67-F67</f>
        <v>-52909689.08</v>
      </c>
      <c r="I67" s="8"/>
      <c r="J67" s="52">
        <f>H67*100/F67</f>
        <v>-59.247754446212525</v>
      </c>
      <c r="L67" s="419"/>
    </row>
    <row r="68" spans="1:12" ht="12.75">
      <c r="A68" s="43" t="s">
        <v>139</v>
      </c>
      <c r="B68" s="33" t="s">
        <v>0</v>
      </c>
      <c r="C68" s="6"/>
      <c r="D68" s="8">
        <f>+'BCE DIC 2022'!F149+'BCE DIC 2022'!F160</f>
        <v>17333132.49</v>
      </c>
      <c r="E68" s="87">
        <f>+D68/$D$81*100</f>
        <v>12.295815953829027</v>
      </c>
      <c r="F68" s="8">
        <f>+'BCE DIC 2021'!F164+'BCE DIC 2021'!F176</f>
        <v>13324528</v>
      </c>
      <c r="G68" s="87">
        <f>+F68/$F$81*100</f>
        <v>6.060956673852379</v>
      </c>
      <c r="H68" s="8">
        <f>D68-F68</f>
        <v>4008604.4899999984</v>
      </c>
      <c r="I68" s="8"/>
      <c r="J68" s="52">
        <f>H68*100/F68</f>
        <v>30.08440141369359</v>
      </c>
      <c r="L68" s="346"/>
    </row>
    <row r="69" spans="1:14" ht="12.75">
      <c r="A69" s="43" t="s">
        <v>160</v>
      </c>
      <c r="B69" s="33" t="s">
        <v>0</v>
      </c>
      <c r="C69" s="6"/>
      <c r="D69" s="8">
        <f>+'BCE DIC 2022'!F198</f>
        <v>19415912.96</v>
      </c>
      <c r="E69" s="87">
        <f>+D69/$D$81*100</f>
        <v>13.773303381224187</v>
      </c>
      <c r="F69" s="8">
        <f>+'BCE DIC 2021'!F212</f>
        <v>61421404.96</v>
      </c>
      <c r="G69" s="87">
        <f>+F69/$F$81*100</f>
        <v>27.938886413815307</v>
      </c>
      <c r="H69" s="8">
        <f>D69-F69</f>
        <v>-42005492</v>
      </c>
      <c r="I69" s="8"/>
      <c r="J69" s="52">
        <f>H69*100/F69</f>
        <v>-68.3890119858958</v>
      </c>
      <c r="N69" s="209"/>
    </row>
    <row r="70" spans="1:14" ht="12.75">
      <c r="A70" s="50" t="s">
        <v>56</v>
      </c>
      <c r="B70" s="86">
        <v>8</v>
      </c>
      <c r="C70" s="6"/>
      <c r="D70" s="23">
        <f>+D67+D68+D69</f>
        <v>73141794.19999999</v>
      </c>
      <c r="E70" s="343">
        <f>+D70/$D$81*100</f>
        <v>51.885488127139986</v>
      </c>
      <c r="F70" s="23">
        <f>SUM(F66:F69)</f>
        <v>164048370.79</v>
      </c>
      <c r="G70" s="343">
        <f>+F70/$F$81*100</f>
        <v>74.62103481446098</v>
      </c>
      <c r="H70" s="23">
        <f>D70-F70</f>
        <v>-90906576.59</v>
      </c>
      <c r="I70" s="10"/>
      <c r="J70" s="53">
        <f>H70*100/F70</f>
        <v>-55.41449522005338</v>
      </c>
      <c r="L70" s="346"/>
      <c r="N70" s="209"/>
    </row>
    <row r="71" spans="1:14" ht="12.75">
      <c r="A71" s="50"/>
      <c r="B71" s="32"/>
      <c r="C71" s="6"/>
      <c r="D71" s="10"/>
      <c r="E71" s="70"/>
      <c r="F71" s="10"/>
      <c r="G71" s="70"/>
      <c r="H71" s="10"/>
      <c r="I71" s="10"/>
      <c r="J71" s="52"/>
      <c r="N71" s="209"/>
    </row>
    <row r="72" spans="1:14" ht="12.75">
      <c r="A72" s="50" t="s">
        <v>141</v>
      </c>
      <c r="B72" s="32"/>
      <c r="C72" s="6"/>
      <c r="D72" s="10"/>
      <c r="E72" s="10"/>
      <c r="F72" s="10"/>
      <c r="G72" s="70" t="s">
        <v>0</v>
      </c>
      <c r="H72" s="8" t="s">
        <v>0</v>
      </c>
      <c r="I72" s="10"/>
      <c r="J72" s="52" t="s">
        <v>0</v>
      </c>
      <c r="N72" s="209"/>
    </row>
    <row r="73" spans="1:14" ht="12.75">
      <c r="A73" s="43" t="s">
        <v>161</v>
      </c>
      <c r="B73" s="33" t="s">
        <v>0</v>
      </c>
      <c r="C73" s="6"/>
      <c r="D73" s="8">
        <f>+'BCE DIC 2022'!F180</f>
        <v>17099250.62</v>
      </c>
      <c r="E73" s="87">
        <f>+D73/$D$81*100</f>
        <v>12.129904314365332</v>
      </c>
      <c r="F73" s="8">
        <f>+'BCE DIC 2021'!F195</f>
        <v>14095953.62</v>
      </c>
      <c r="G73" s="87">
        <f>+F73/$F$81*100</f>
        <v>6.411856702725426</v>
      </c>
      <c r="H73" s="8">
        <f>D73-F73</f>
        <v>3003297.000000002</v>
      </c>
      <c r="I73" s="10"/>
      <c r="J73" s="52">
        <f>H73*100/F73</f>
        <v>21.30609308857815</v>
      </c>
      <c r="N73" s="209"/>
    </row>
    <row r="74" spans="1:14" ht="12.75">
      <c r="A74" s="50" t="s">
        <v>145</v>
      </c>
      <c r="B74" s="86">
        <v>9</v>
      </c>
      <c r="C74" s="1"/>
      <c r="D74" s="23">
        <f>SUM(D73:D73)</f>
        <v>17099250.62</v>
      </c>
      <c r="E74" s="343">
        <f>+D74/$D$81*100</f>
        <v>12.129904314365332</v>
      </c>
      <c r="F74" s="23">
        <f>SUM(F73:F73)</f>
        <v>14095953.62</v>
      </c>
      <c r="G74" s="343">
        <f>+F74/$F$81*100</f>
        <v>6.411856702725426</v>
      </c>
      <c r="H74" s="23">
        <f>D74-F74</f>
        <v>3003297.000000002</v>
      </c>
      <c r="I74" s="10"/>
      <c r="J74" s="53">
        <f>H74*100/F74</f>
        <v>21.30609308857815</v>
      </c>
      <c r="N74" s="209"/>
    </row>
    <row r="75" spans="1:14" ht="12.75">
      <c r="A75" s="43" t="s">
        <v>0</v>
      </c>
      <c r="B75" s="33"/>
      <c r="C75" s="1"/>
      <c r="D75" s="10" t="s">
        <v>0</v>
      </c>
      <c r="E75" s="70" t="s">
        <v>0</v>
      </c>
      <c r="F75" s="10" t="s">
        <v>0</v>
      </c>
      <c r="G75" s="70" t="s">
        <v>0</v>
      </c>
      <c r="H75" s="8" t="s">
        <v>0</v>
      </c>
      <c r="I75" s="10"/>
      <c r="J75" s="52" t="s">
        <v>0</v>
      </c>
      <c r="N75" s="209"/>
    </row>
    <row r="76" spans="1:14" ht="12.75">
      <c r="A76" s="50" t="s">
        <v>61</v>
      </c>
      <c r="B76" s="33"/>
      <c r="C76" s="1"/>
      <c r="D76" s="10" t="s">
        <v>0</v>
      </c>
      <c r="E76" s="70" t="s">
        <v>0</v>
      </c>
      <c r="F76" s="10" t="s">
        <v>0</v>
      </c>
      <c r="G76" s="70" t="s">
        <v>0</v>
      </c>
      <c r="H76" s="10" t="s">
        <v>0</v>
      </c>
      <c r="I76" s="10" t="s">
        <v>0</v>
      </c>
      <c r="J76" s="52" t="s">
        <v>0</v>
      </c>
      <c r="N76" s="209"/>
    </row>
    <row r="77" spans="1:14" ht="12.75">
      <c r="A77" s="43" t="s">
        <v>162</v>
      </c>
      <c r="B77" s="86" t="s">
        <v>0</v>
      </c>
      <c r="C77" s="1"/>
      <c r="D77" s="8">
        <f>+'BCE DIC 2022'!F188</f>
        <v>20774110</v>
      </c>
      <c r="E77" s="87">
        <f>+D77/$D$81*100</f>
        <v>14.736784208622822</v>
      </c>
      <c r="F77" s="8">
        <f>+'BCE DIC 2021'!F203</f>
        <v>16778229</v>
      </c>
      <c r="G77" s="87">
        <f>+F77/$F$81*100</f>
        <v>7.631949066636623</v>
      </c>
      <c r="H77" s="8">
        <f>D77-F77</f>
        <v>3995881</v>
      </c>
      <c r="I77" s="10"/>
      <c r="J77" s="52">
        <f>H77*100/F77</f>
        <v>23.815868766602243</v>
      </c>
      <c r="N77" s="209"/>
    </row>
    <row r="78" spans="1:10" ht="12.75">
      <c r="A78" s="43" t="s">
        <v>163</v>
      </c>
      <c r="B78" s="86"/>
      <c r="C78" s="6"/>
      <c r="D78" s="8">
        <f>+'BCE DIC 2022'!F201</f>
        <v>22689683</v>
      </c>
      <c r="E78" s="87">
        <f>+D78/$D$81*100</f>
        <v>16.09565763024542</v>
      </c>
      <c r="F78" s="8">
        <f>+'BCE DIC 2021'!F216</f>
        <v>19404612.47</v>
      </c>
      <c r="G78" s="87">
        <f>+F78/$F$81*100</f>
        <v>8.826617757384398</v>
      </c>
      <c r="H78" s="8">
        <f>D78-F78</f>
        <v>3285070.530000001</v>
      </c>
      <c r="I78" s="10"/>
      <c r="J78" s="52">
        <f>H78*100/F78</f>
        <v>16.92932819492685</v>
      </c>
    </row>
    <row r="79" spans="1:10" ht="12.75">
      <c r="A79" s="43" t="s">
        <v>63</v>
      </c>
      <c r="B79" s="86"/>
      <c r="C79" s="6"/>
      <c r="D79" s="8">
        <f>+'BCE DIC 2022'!F196</f>
        <v>7262891</v>
      </c>
      <c r="E79" s="87">
        <f>+D79/$D$81*100</f>
        <v>5.152165719626439</v>
      </c>
      <c r="F79" s="8">
        <f>+'BCE DIC 2021'!F210</f>
        <v>5514828</v>
      </c>
      <c r="G79" s="87">
        <f>+F79/$F$81*100</f>
        <v>2.5085416587925646</v>
      </c>
      <c r="H79" s="8">
        <f>D79-F79</f>
        <v>1748063</v>
      </c>
      <c r="I79" s="10"/>
      <c r="J79" s="52">
        <f>H79*100/F79</f>
        <v>31.69750715706818</v>
      </c>
    </row>
    <row r="80" spans="1:12" ht="12.75">
      <c r="A80" s="50" t="s">
        <v>71</v>
      </c>
      <c r="B80" s="86">
        <v>10</v>
      </c>
      <c r="C80" s="6"/>
      <c r="D80" s="23">
        <f>SUM(D77:D79)</f>
        <v>50726684</v>
      </c>
      <c r="E80" s="343">
        <f>+D80/$D$81*100</f>
        <v>35.98460755849468</v>
      </c>
      <c r="F80" s="23">
        <f>SUM(F77:F79)</f>
        <v>41697669.47</v>
      </c>
      <c r="G80" s="343">
        <f>+F80/$F$81*100</f>
        <v>18.967108482813583</v>
      </c>
      <c r="H80" s="23">
        <f>D80-F80</f>
        <v>9029014.530000001</v>
      </c>
      <c r="I80" s="10"/>
      <c r="J80" s="53">
        <f>H80*100/F80</f>
        <v>21.653523193894706</v>
      </c>
      <c r="L80" s="346"/>
    </row>
    <row r="81" spans="1:12" ht="12.75">
      <c r="A81" s="50" t="s">
        <v>72</v>
      </c>
      <c r="B81" s="32"/>
      <c r="C81" s="6"/>
      <c r="D81" s="23">
        <f>SUM(D70+D74+D80)</f>
        <v>140967728.82</v>
      </c>
      <c r="E81" s="343">
        <f>+D81/$D$81*100</f>
        <v>100</v>
      </c>
      <c r="F81" s="23">
        <f>SUM(F70+F74+F80)</f>
        <v>219841993.88</v>
      </c>
      <c r="G81" s="343">
        <f>+F81/$F$81*100</f>
        <v>100</v>
      </c>
      <c r="H81" s="23">
        <f>D81-F81</f>
        <v>-78874265.06</v>
      </c>
      <c r="I81" s="10"/>
      <c r="J81" s="53">
        <f>H81*100/F81</f>
        <v>-35.87770637808773</v>
      </c>
      <c r="K81" s="346"/>
      <c r="L81" s="345"/>
    </row>
    <row r="82" spans="1:12" ht="12.75">
      <c r="A82" s="50" t="s">
        <v>65</v>
      </c>
      <c r="B82" s="32"/>
      <c r="C82" s="6"/>
      <c r="D82" s="6"/>
      <c r="E82" s="6"/>
      <c r="F82" s="6"/>
      <c r="G82" s="70"/>
      <c r="H82" s="8"/>
      <c r="I82" s="10"/>
      <c r="J82" s="54"/>
      <c r="L82" s="346"/>
    </row>
    <row r="83" spans="1:10" ht="12.75">
      <c r="A83" s="43" t="s">
        <v>205</v>
      </c>
      <c r="B83" s="32"/>
      <c r="C83" s="6"/>
      <c r="D83" s="8">
        <v>6823791274</v>
      </c>
      <c r="E83" s="87">
        <f>+D83/$D$87*100</f>
        <v>82.67958705942343</v>
      </c>
      <c r="F83" s="8">
        <f>+'BCE DIC 2021'!F230</f>
        <v>6312569013.52</v>
      </c>
      <c r="G83" s="87">
        <f>+F83/$F$87*100</f>
        <v>82.53620180802213</v>
      </c>
      <c r="H83" s="8">
        <f aca="true" t="shared" si="7" ref="H83:H89">D83-F83</f>
        <v>511222260.47999954</v>
      </c>
      <c r="I83" s="10" t="s">
        <v>0</v>
      </c>
      <c r="J83" s="52">
        <f aca="true" t="shared" si="8" ref="J83:J89">H83*100/F83</f>
        <v>8.098481923684078</v>
      </c>
    </row>
    <row r="84" spans="1:12" ht="12.75">
      <c r="A84" s="43" t="s">
        <v>166</v>
      </c>
      <c r="B84" s="32"/>
      <c r="C84" s="6"/>
      <c r="D84" s="8">
        <v>499386870</v>
      </c>
      <c r="E84" s="87">
        <f>+D84/$D$87*100</f>
        <v>6.05075661558079</v>
      </c>
      <c r="F84" s="8">
        <f>+'BCE DIC 2021'!F231</f>
        <v>473358467.95</v>
      </c>
      <c r="G84" s="87">
        <f>+F84/$F$87*100</f>
        <v>6.1891141236762</v>
      </c>
      <c r="H84" s="8">
        <f t="shared" si="7"/>
        <v>26028402.050000012</v>
      </c>
      <c r="I84" s="10"/>
      <c r="J84" s="52">
        <f t="shared" si="8"/>
        <v>5.498666193238851</v>
      </c>
      <c r="L84" s="346"/>
    </row>
    <row r="85" spans="1:10" ht="12.75">
      <c r="A85" s="43" t="s">
        <v>164</v>
      </c>
      <c r="B85" s="32"/>
      <c r="C85" s="6"/>
      <c r="D85" s="8">
        <v>732173182</v>
      </c>
      <c r="E85" s="87">
        <f>+D85/$D$87*100</f>
        <v>8.871281947675833</v>
      </c>
      <c r="F85" s="8">
        <f>+D85</f>
        <v>732173182</v>
      </c>
      <c r="G85" s="87">
        <f>+F85/$F$87*100</f>
        <v>9.573090350148336</v>
      </c>
      <c r="H85" s="8">
        <f t="shared" si="7"/>
        <v>0</v>
      </c>
      <c r="I85" s="10"/>
      <c r="J85" s="52">
        <f t="shared" si="8"/>
        <v>0</v>
      </c>
    </row>
    <row r="86" spans="1:12" ht="12.75">
      <c r="A86" s="38" t="s">
        <v>165</v>
      </c>
      <c r="B86" s="33" t="s">
        <v>0</v>
      </c>
      <c r="C86" s="6"/>
      <c r="D86" s="10">
        <f>SUM('Estado integral de resultados'!C30)</f>
        <v>197944943</v>
      </c>
      <c r="E86" s="87">
        <f>+D86/$D$87*100</f>
        <v>2.398374377319957</v>
      </c>
      <c r="F86" s="10">
        <f>SUM('Estado integral de resultados'!E30)</f>
        <v>130142017</v>
      </c>
      <c r="G86" s="87">
        <f>+F86/$F$87*100</f>
        <v>1.701593718153338</v>
      </c>
      <c r="H86" s="10">
        <f t="shared" si="7"/>
        <v>67802926</v>
      </c>
      <c r="I86" s="403"/>
      <c r="J86" s="54">
        <f t="shared" si="8"/>
        <v>52.09918177309331</v>
      </c>
      <c r="L86" s="346"/>
    </row>
    <row r="87" spans="1:12" ht="12.75">
      <c r="A87" s="36" t="s">
        <v>3</v>
      </c>
      <c r="B87" s="86">
        <v>11</v>
      </c>
      <c r="C87" s="6"/>
      <c r="D87" s="23">
        <f>SUM(D83:D86)</f>
        <v>8253296269</v>
      </c>
      <c r="E87" s="343">
        <f>+D87/$D$87*100</f>
        <v>100</v>
      </c>
      <c r="F87" s="23">
        <f>SUM(F83:F86)</f>
        <v>7648242680.47</v>
      </c>
      <c r="G87" s="343">
        <f>+F87/$F$87*100</f>
        <v>100</v>
      </c>
      <c r="H87" s="23">
        <f t="shared" si="7"/>
        <v>605053588.5299997</v>
      </c>
      <c r="I87" s="13"/>
      <c r="J87" s="53">
        <f t="shared" si="8"/>
        <v>7.911014514157884</v>
      </c>
      <c r="L87" s="346"/>
    </row>
    <row r="88" spans="1:12" ht="13.5" thickBot="1">
      <c r="A88" s="50" t="s">
        <v>4</v>
      </c>
      <c r="B88" s="32"/>
      <c r="C88" s="6"/>
      <c r="D88" s="21">
        <f>SUM(D81+D87)</f>
        <v>8394263997.82</v>
      </c>
      <c r="E88" s="87" t="s">
        <v>0</v>
      </c>
      <c r="F88" s="21">
        <f>SUM(F81+F87)</f>
        <v>7868084674.35</v>
      </c>
      <c r="G88" s="87" t="s">
        <v>0</v>
      </c>
      <c r="H88" s="21">
        <f t="shared" si="7"/>
        <v>526179323.4699993</v>
      </c>
      <c r="I88" s="10"/>
      <c r="J88" s="402">
        <f t="shared" si="8"/>
        <v>6.687514754198653</v>
      </c>
      <c r="L88" s="346"/>
    </row>
    <row r="89" spans="1:10" ht="13.5" thickTop="1">
      <c r="A89" s="105" t="s">
        <v>167</v>
      </c>
      <c r="B89" s="106"/>
      <c r="C89" s="107"/>
      <c r="D89" s="173">
        <f>SUM(D49)</f>
        <v>500000000</v>
      </c>
      <c r="E89" s="107"/>
      <c r="F89" s="173">
        <f>SUM(F49)</f>
        <v>454288500</v>
      </c>
      <c r="G89" s="108" t="s">
        <v>0</v>
      </c>
      <c r="H89" s="173">
        <f t="shared" si="7"/>
        <v>45711500</v>
      </c>
      <c r="I89" s="109"/>
      <c r="J89" s="110">
        <f t="shared" si="8"/>
        <v>10.062218171932594</v>
      </c>
    </row>
    <row r="90" spans="1:10" ht="15.75" customHeight="1">
      <c r="A90" s="121" t="s">
        <v>831</v>
      </c>
      <c r="B90" s="32"/>
      <c r="C90" s="6"/>
      <c r="D90" s="71"/>
      <c r="E90" s="6"/>
      <c r="F90" s="71"/>
      <c r="G90" s="70"/>
      <c r="H90" s="71"/>
      <c r="I90" s="10"/>
      <c r="J90" s="52"/>
    </row>
    <row r="91" spans="1:10" ht="12.75">
      <c r="A91" s="38"/>
      <c r="B91" s="32"/>
      <c r="C91" s="6"/>
      <c r="D91" s="71"/>
      <c r="E91" s="6"/>
      <c r="F91" s="71"/>
      <c r="G91" s="70"/>
      <c r="H91" s="71"/>
      <c r="I91" s="10"/>
      <c r="J91" s="52"/>
    </row>
    <row r="92" spans="1:12" ht="12.75">
      <c r="A92" s="236" t="s">
        <v>853</v>
      </c>
      <c r="B92" s="32"/>
      <c r="C92" s="6"/>
      <c r="D92" s="431" t="s">
        <v>855</v>
      </c>
      <c r="E92" s="6"/>
      <c r="F92" s="71"/>
      <c r="G92" s="464" t="s">
        <v>854</v>
      </c>
      <c r="H92" s="464"/>
      <c r="I92" s="10"/>
      <c r="J92" s="52"/>
      <c r="L92" s="346"/>
    </row>
    <row r="93" spans="1:10" ht="12.75">
      <c r="A93" s="236"/>
      <c r="B93" s="32"/>
      <c r="C93" s="6"/>
      <c r="D93" s="237"/>
      <c r="E93" s="6"/>
      <c r="F93" s="71"/>
      <c r="G93" s="237"/>
      <c r="H93" s="71"/>
      <c r="I93" s="10"/>
      <c r="J93" s="52"/>
    </row>
    <row r="94" spans="1:10" ht="12.75">
      <c r="A94" s="36" t="s">
        <v>168</v>
      </c>
      <c r="B94" s="32"/>
      <c r="C94" s="6"/>
      <c r="D94" s="14" t="s">
        <v>637</v>
      </c>
      <c r="E94" s="14"/>
      <c r="F94" s="14"/>
      <c r="G94" s="14" t="s">
        <v>834</v>
      </c>
      <c r="H94" s="44"/>
      <c r="I94" s="10"/>
      <c r="J94" s="52"/>
    </row>
    <row r="95" spans="1:10" ht="12.75">
      <c r="A95" s="36" t="s">
        <v>82</v>
      </c>
      <c r="B95" s="27"/>
      <c r="C95" s="17"/>
      <c r="D95" s="14" t="s">
        <v>639</v>
      </c>
      <c r="E95" s="14"/>
      <c r="F95" s="14"/>
      <c r="G95" s="14"/>
      <c r="H95" s="14" t="s">
        <v>782</v>
      </c>
      <c r="I95" s="39"/>
      <c r="J95" s="59"/>
    </row>
    <row r="96" spans="1:10" ht="12.75">
      <c r="A96" s="36"/>
      <c r="B96" s="27"/>
      <c r="C96" s="17"/>
      <c r="D96" s="14" t="s">
        <v>833</v>
      </c>
      <c r="E96" s="2"/>
      <c r="F96" s="2"/>
      <c r="G96" s="2"/>
      <c r="H96" s="44" t="s">
        <v>835</v>
      </c>
      <c r="I96" s="39"/>
      <c r="J96" s="59"/>
    </row>
    <row r="97" spans="1:10" ht="13.5" thickBot="1">
      <c r="A97" s="166" t="s">
        <v>174</v>
      </c>
      <c r="B97" s="65"/>
      <c r="C97" s="66"/>
      <c r="D97" s="122" t="s">
        <v>638</v>
      </c>
      <c r="E97" s="66"/>
      <c r="F97" s="79"/>
      <c r="G97" s="122" t="s">
        <v>640</v>
      </c>
      <c r="H97" s="122"/>
      <c r="I97" s="80"/>
      <c r="J97" s="60"/>
    </row>
    <row r="98" ht="13.5" thickTop="1"/>
    <row r="102" spans="3:4" ht="12.75">
      <c r="C102" s="35"/>
      <c r="D102" s="237"/>
    </row>
    <row r="128" spans="4:6" ht="12.75">
      <c r="D128" s="167"/>
      <c r="F128" s="167"/>
    </row>
    <row r="129" spans="4:6" ht="12.75">
      <c r="D129" s="167"/>
      <c r="F129" s="167"/>
    </row>
    <row r="130" spans="4:6" ht="12.75">
      <c r="D130" s="167"/>
      <c r="F130" s="167"/>
    </row>
    <row r="131" ht="12.75">
      <c r="D131" s="167"/>
    </row>
    <row r="132" ht="12.75">
      <c r="D132" s="167"/>
    </row>
    <row r="133" ht="12.75">
      <c r="D133" s="167"/>
    </row>
    <row r="134" ht="12.75">
      <c r="D134" s="167"/>
    </row>
    <row r="135" ht="12.75">
      <c r="D135" s="167"/>
    </row>
  </sheetData>
  <sheetProtection/>
  <mergeCells count="11">
    <mergeCell ref="A4:J4"/>
    <mergeCell ref="A58:J58"/>
    <mergeCell ref="G92:H92"/>
    <mergeCell ref="A59:J59"/>
    <mergeCell ref="H61:J61"/>
    <mergeCell ref="A2:J2"/>
    <mergeCell ref="A3:J3"/>
    <mergeCell ref="A5:J5"/>
    <mergeCell ref="H7:J7"/>
    <mergeCell ref="A56:J56"/>
    <mergeCell ref="A57:J57"/>
  </mergeCells>
  <printOptions horizontalCentered="1" verticalCentered="1"/>
  <pageMargins left="0.31496062992125984" right="0.31496062992125984" top="0.8267716535433072" bottom="0.5511811023622047" header="0.4724409448818898" footer="0.31496062992125984"/>
  <pageSetup horizontalDpi="600" verticalDpi="600" orientation="landscape" scale="80" r:id="rId3"/>
  <ignoredErrors>
    <ignoredError sqref="E14:J14 E70:J72 E48 G48:J48 E23:J24 E22 E34:J35 E25:I25 E47:J47 F46 E26:J30 E19:J21 E17 G17:J17 E46 H44:I44 H45:I45 E31 G31:J31 E33 G33:J33 E15:E16 G15:J16 E18 G18:J18 G22:I22 E41:J43 E36:E40 G36:J40 E74:J76 E73 G73:J73 E80:J82 E77:E79 G77:J79 E86:J89 E83:E85 G83:J8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77"/>
  <sheetViews>
    <sheetView showGridLines="0" zoomScalePageLayoutView="0" workbookViewId="0" topLeftCell="A1">
      <selection activeCell="J39" sqref="J39"/>
    </sheetView>
  </sheetViews>
  <sheetFormatPr defaultColWidth="11.421875" defaultRowHeight="12.75"/>
  <cols>
    <col min="1" max="1" width="39.421875" style="0" customWidth="1"/>
    <col min="2" max="2" width="8.7109375" style="0" customWidth="1"/>
    <col min="3" max="3" width="19.421875" style="0" customWidth="1"/>
    <col min="4" max="4" width="7.140625" style="0" customWidth="1"/>
    <col min="5" max="5" width="20.421875" style="0" customWidth="1"/>
    <col min="6" max="6" width="8.00390625" style="0" customWidth="1"/>
    <col min="7" max="7" width="18.7109375" style="0" customWidth="1"/>
    <col min="8" max="8" width="3.7109375" style="0" customWidth="1"/>
    <col min="9" max="9" width="8.8515625" style="0" customWidth="1"/>
  </cols>
  <sheetData>
    <row r="1" ht="13.5" thickBot="1"/>
    <row r="2" spans="1:9" ht="15.75" thickTop="1">
      <c r="A2" s="470" t="s">
        <v>19</v>
      </c>
      <c r="B2" s="471"/>
      <c r="C2" s="471"/>
      <c r="D2" s="471"/>
      <c r="E2" s="471"/>
      <c r="F2" s="471"/>
      <c r="G2" s="471"/>
      <c r="H2" s="471"/>
      <c r="I2" s="472"/>
    </row>
    <row r="3" spans="1:9" ht="12.75">
      <c r="A3" s="473" t="s">
        <v>215</v>
      </c>
      <c r="B3" s="474"/>
      <c r="C3" s="474"/>
      <c r="D3" s="474"/>
      <c r="E3" s="474"/>
      <c r="F3" s="474"/>
      <c r="G3" s="474"/>
      <c r="H3" s="474"/>
      <c r="I3" s="475"/>
    </row>
    <row r="4" spans="1:9" ht="12.75">
      <c r="A4" s="461" t="s">
        <v>848</v>
      </c>
      <c r="B4" s="462"/>
      <c r="C4" s="462"/>
      <c r="D4" s="462"/>
      <c r="E4" s="462"/>
      <c r="F4" s="462"/>
      <c r="G4" s="462"/>
      <c r="H4" s="462"/>
      <c r="I4" s="463"/>
    </row>
    <row r="5" spans="1:9" ht="13.5" thickBot="1">
      <c r="A5" s="461" t="s">
        <v>847</v>
      </c>
      <c r="B5" s="462"/>
      <c r="C5" s="462"/>
      <c r="D5" s="462"/>
      <c r="E5" s="462"/>
      <c r="F5" s="462"/>
      <c r="G5" s="462"/>
      <c r="H5" s="462"/>
      <c r="I5" s="463"/>
    </row>
    <row r="6" spans="1:9" ht="13.5" thickTop="1">
      <c r="A6" s="61"/>
      <c r="B6" s="46"/>
      <c r="C6" s="47"/>
      <c r="D6" s="47"/>
      <c r="E6" s="47"/>
      <c r="F6" s="47"/>
      <c r="G6" s="47"/>
      <c r="H6" s="47"/>
      <c r="I6" s="67"/>
    </row>
    <row r="7" spans="1:9" ht="12.75">
      <c r="A7" s="38"/>
      <c r="B7" s="25"/>
      <c r="C7" s="1"/>
      <c r="D7" s="1"/>
      <c r="E7" s="1"/>
      <c r="F7" s="5"/>
      <c r="G7" s="476" t="s">
        <v>169</v>
      </c>
      <c r="H7" s="476"/>
      <c r="I7" s="477"/>
    </row>
    <row r="8" spans="1:9" ht="14.25">
      <c r="A8" s="95" t="s">
        <v>7</v>
      </c>
      <c r="B8" s="112" t="s">
        <v>1</v>
      </c>
      <c r="C8" s="96">
        <v>2022</v>
      </c>
      <c r="D8" s="96" t="s">
        <v>48</v>
      </c>
      <c r="E8" s="96">
        <v>2021</v>
      </c>
      <c r="F8" s="96" t="s">
        <v>48</v>
      </c>
      <c r="G8" s="96" t="s">
        <v>5</v>
      </c>
      <c r="H8" s="97"/>
      <c r="I8" s="98" t="s">
        <v>6</v>
      </c>
    </row>
    <row r="9" spans="1:9" ht="12.75">
      <c r="A9" s="50"/>
      <c r="B9" s="26"/>
      <c r="C9" s="6"/>
      <c r="D9" s="6"/>
      <c r="E9" s="6"/>
      <c r="F9" s="11"/>
      <c r="G9" s="8"/>
      <c r="H9" s="8"/>
      <c r="I9" s="68"/>
    </row>
    <row r="10" spans="1:9" ht="12.75">
      <c r="A10" s="43" t="s">
        <v>633</v>
      </c>
      <c r="B10" s="25" t="s">
        <v>0</v>
      </c>
      <c r="C10" s="10">
        <v>785773442</v>
      </c>
      <c r="D10" s="87">
        <f>+C10/$C$15*100</f>
        <v>74.63335734279103</v>
      </c>
      <c r="E10" s="10">
        <v>731100862</v>
      </c>
      <c r="F10" s="87">
        <f>+E10/$E$15*100</f>
        <v>77.29481496018435</v>
      </c>
      <c r="G10" s="174">
        <f>SUM(C10-E10)</f>
        <v>54672580</v>
      </c>
      <c r="H10" s="8"/>
      <c r="I10" s="52">
        <f>G10/E10*100</f>
        <v>7.4781172943002225</v>
      </c>
    </row>
    <row r="11" spans="1:9" ht="12.75">
      <c r="A11" s="43" t="s">
        <v>8</v>
      </c>
      <c r="B11" s="26"/>
      <c r="C11" s="8">
        <v>151422935</v>
      </c>
      <c r="D11" s="87">
        <f>+C11/$C$15*100</f>
        <v>14.382265184459134</v>
      </c>
      <c r="E11" s="8">
        <v>128481696</v>
      </c>
      <c r="F11" s="87">
        <f>+E11/$E$15*100</f>
        <v>13.583582559215557</v>
      </c>
      <c r="G11" s="174">
        <f>SUM(C11-E11)</f>
        <v>22941239</v>
      </c>
      <c r="H11" s="8"/>
      <c r="I11" s="52">
        <f>G11/E11*100</f>
        <v>17.855647702533442</v>
      </c>
    </row>
    <row r="12" spans="1:9" ht="12.75">
      <c r="A12" s="43" t="s">
        <v>75</v>
      </c>
      <c r="B12" s="25" t="s">
        <v>0</v>
      </c>
      <c r="C12" s="8">
        <v>115291633</v>
      </c>
      <c r="D12" s="87">
        <f>+C12/$C$15*100</f>
        <v>10.950486723529297</v>
      </c>
      <c r="E12" s="8">
        <v>86277604</v>
      </c>
      <c r="F12" s="87">
        <f>+E12/$E$15*100</f>
        <v>9.121602480600087</v>
      </c>
      <c r="G12" s="174">
        <f>SUM(C12-E12)</f>
        <v>29014029</v>
      </c>
      <c r="H12" s="10"/>
      <c r="I12" s="52">
        <f>G12/E12*100</f>
        <v>33.62869117227687</v>
      </c>
    </row>
    <row r="13" spans="1:9" ht="12.75">
      <c r="A13" s="43" t="s">
        <v>76</v>
      </c>
      <c r="B13" s="26"/>
      <c r="C13" s="8">
        <v>356817</v>
      </c>
      <c r="D13" s="87">
        <f>+C13/$C$15*100</f>
        <v>0.03389074922054017</v>
      </c>
      <c r="E13" s="8">
        <v>0</v>
      </c>
      <c r="F13" s="87">
        <f>+E13/$E$15*100</f>
        <v>0</v>
      </c>
      <c r="G13" s="174">
        <f>SUM(C13-E13)</f>
        <v>356817</v>
      </c>
      <c r="H13" s="10"/>
      <c r="I13" s="52">
        <v>0</v>
      </c>
    </row>
    <row r="14" spans="1:9" ht="12.75">
      <c r="A14" s="50"/>
      <c r="B14" s="26"/>
      <c r="C14" s="6"/>
      <c r="D14" s="6"/>
      <c r="E14" s="6"/>
      <c r="F14" s="9"/>
      <c r="G14" s="175"/>
      <c r="H14" s="10"/>
      <c r="I14" s="52" t="s">
        <v>0</v>
      </c>
    </row>
    <row r="15" spans="1:9" ht="14.25">
      <c r="A15" s="102" t="s">
        <v>9</v>
      </c>
      <c r="B15" s="111">
        <v>12</v>
      </c>
      <c r="C15" s="23">
        <f>SUM(C10:C13)</f>
        <v>1052844827</v>
      </c>
      <c r="D15" s="344">
        <f>+C15/$C$15*100</f>
        <v>100</v>
      </c>
      <c r="E15" s="23">
        <f>SUM(E10:E13)</f>
        <v>945860162</v>
      </c>
      <c r="F15" s="344">
        <f>+E15/$E$15*100</f>
        <v>100</v>
      </c>
      <c r="G15" s="176">
        <f>SUM(C15-E15)</f>
        <v>106984665</v>
      </c>
      <c r="H15" s="99"/>
      <c r="I15" s="53">
        <f>G15/E15*100</f>
        <v>11.310833175781855</v>
      </c>
    </row>
    <row r="16" spans="1:9" ht="13.5" thickBot="1">
      <c r="A16" s="50"/>
      <c r="B16" s="26"/>
      <c r="C16" s="6"/>
      <c r="D16" s="6"/>
      <c r="E16" s="6"/>
      <c r="F16" s="11"/>
      <c r="G16" s="174"/>
      <c r="H16" s="8"/>
      <c r="I16" s="52"/>
    </row>
    <row r="17" spans="1:9" ht="13.5" thickBot="1">
      <c r="A17" s="89" t="s">
        <v>0</v>
      </c>
      <c r="B17" s="90"/>
      <c r="C17" s="91" t="s">
        <v>0</v>
      </c>
      <c r="D17" s="92"/>
      <c r="E17" s="91" t="s">
        <v>0</v>
      </c>
      <c r="F17" s="93"/>
      <c r="G17" s="177" t="s">
        <v>0</v>
      </c>
      <c r="H17" s="91"/>
      <c r="I17" s="94" t="s">
        <v>0</v>
      </c>
    </row>
    <row r="18" spans="1:9" ht="14.25">
      <c r="A18" s="100" t="s">
        <v>77</v>
      </c>
      <c r="B18" s="113" t="s">
        <v>1</v>
      </c>
      <c r="C18" s="347">
        <v>2022</v>
      </c>
      <c r="D18" s="348"/>
      <c r="E18" s="347">
        <v>2021</v>
      </c>
      <c r="F18" s="101"/>
      <c r="G18" s="178" t="s">
        <v>5</v>
      </c>
      <c r="H18" s="97"/>
      <c r="I18" s="98" t="s">
        <v>6</v>
      </c>
    </row>
    <row r="19" spans="1:9" ht="14.25">
      <c r="A19" s="349" t="s">
        <v>454</v>
      </c>
      <c r="B19" s="86"/>
      <c r="C19" s="350"/>
      <c r="D19" s="351"/>
      <c r="E19" s="350"/>
      <c r="F19" s="11"/>
      <c r="G19" s="352"/>
      <c r="H19" s="5"/>
      <c r="I19" s="239"/>
    </row>
    <row r="20" spans="1:9" ht="12.75">
      <c r="A20" s="43" t="s">
        <v>634</v>
      </c>
      <c r="B20" s="26"/>
      <c r="C20" s="8">
        <v>203218330</v>
      </c>
      <c r="D20" s="87">
        <f aca="true" t="shared" si="0" ref="D20:D26">+C20/$C$28*100</f>
        <v>23.77100919105985</v>
      </c>
      <c r="E20" s="8">
        <v>231355887</v>
      </c>
      <c r="F20" s="87">
        <f aca="true" t="shared" si="1" ref="F20:F26">+E20/$E$28*100</f>
        <v>28.362233746804787</v>
      </c>
      <c r="G20" s="174">
        <f aca="true" t="shared" si="2" ref="G20:G26">SUM(C20-E20)</f>
        <v>-28137557</v>
      </c>
      <c r="H20" s="8"/>
      <c r="I20" s="52">
        <f aca="true" t="shared" si="3" ref="I20:I28">G20/E20*100</f>
        <v>-12.162023350631229</v>
      </c>
    </row>
    <row r="21" spans="1:9" ht="12.75">
      <c r="A21" s="43" t="s">
        <v>170</v>
      </c>
      <c r="B21" s="26"/>
      <c r="C21" s="8">
        <v>517201338</v>
      </c>
      <c r="D21" s="87">
        <f t="shared" si="0"/>
        <v>60.49846861366518</v>
      </c>
      <c r="E21" s="8">
        <v>434709985</v>
      </c>
      <c r="F21" s="87">
        <f t="shared" si="1"/>
        <v>53.29168998686428</v>
      </c>
      <c r="G21" s="174">
        <f t="shared" si="2"/>
        <v>82491353</v>
      </c>
      <c r="H21" s="8"/>
      <c r="I21" s="52">
        <f t="shared" si="3"/>
        <v>18.97618086688301</v>
      </c>
    </row>
    <row r="22" spans="1:9" ht="12.75">
      <c r="A22" s="43" t="s">
        <v>14</v>
      </c>
      <c r="B22" s="25" t="s">
        <v>0</v>
      </c>
      <c r="C22" s="8">
        <v>12070120</v>
      </c>
      <c r="D22" s="87">
        <f t="shared" si="0"/>
        <v>1.41187526468304</v>
      </c>
      <c r="E22" s="8">
        <v>11880842</v>
      </c>
      <c r="F22" s="87">
        <f t="shared" si="1"/>
        <v>1.4564886257372636</v>
      </c>
      <c r="G22" s="174">
        <f t="shared" si="2"/>
        <v>189278</v>
      </c>
      <c r="H22" s="10"/>
      <c r="I22" s="52">
        <f t="shared" si="3"/>
        <v>1.5931362440473495</v>
      </c>
    </row>
    <row r="23" spans="1:9" ht="12.75">
      <c r="A23" s="43" t="s">
        <v>171</v>
      </c>
      <c r="B23" s="26"/>
      <c r="C23" s="8">
        <v>0</v>
      </c>
      <c r="D23" s="87">
        <f t="shared" si="0"/>
        <v>0</v>
      </c>
      <c r="E23" s="8">
        <v>0</v>
      </c>
      <c r="F23" s="87">
        <f t="shared" si="1"/>
        <v>0</v>
      </c>
      <c r="G23" s="174">
        <f t="shared" si="2"/>
        <v>0</v>
      </c>
      <c r="H23" s="10"/>
      <c r="I23" s="52">
        <v>0</v>
      </c>
    </row>
    <row r="24" spans="1:9" ht="12.75">
      <c r="A24" s="62" t="s">
        <v>635</v>
      </c>
      <c r="B24" s="26"/>
      <c r="C24" s="8">
        <v>96457594</v>
      </c>
      <c r="D24" s="87">
        <f t="shared" si="0"/>
        <v>11.282911111027827</v>
      </c>
      <c r="E24" s="8">
        <v>112447132</v>
      </c>
      <c r="F24" s="87">
        <f t="shared" si="1"/>
        <v>13.785047284929528</v>
      </c>
      <c r="G24" s="174">
        <f t="shared" si="2"/>
        <v>-15989538</v>
      </c>
      <c r="H24" s="10"/>
      <c r="I24" s="52">
        <f t="shared" si="3"/>
        <v>-14.219604996239477</v>
      </c>
    </row>
    <row r="25" spans="1:9" ht="12.75">
      <c r="A25" s="62" t="s">
        <v>75</v>
      </c>
      <c r="B25" s="26"/>
      <c r="C25" s="8">
        <v>25952502</v>
      </c>
      <c r="D25" s="87">
        <f t="shared" si="0"/>
        <v>3.035735819564107</v>
      </c>
      <c r="E25" s="8">
        <v>25324299</v>
      </c>
      <c r="F25" s="87">
        <f t="shared" si="1"/>
        <v>3.1045403556641493</v>
      </c>
      <c r="G25" s="174">
        <f t="shared" si="2"/>
        <v>628203</v>
      </c>
      <c r="H25" s="10"/>
      <c r="I25" s="52">
        <f t="shared" si="3"/>
        <v>2.4806333237496525</v>
      </c>
    </row>
    <row r="26" spans="1:9" ht="12.75">
      <c r="A26" s="43" t="s">
        <v>80</v>
      </c>
      <c r="B26" s="26"/>
      <c r="C26" s="8">
        <v>0</v>
      </c>
      <c r="D26" s="87">
        <f t="shared" si="0"/>
        <v>0</v>
      </c>
      <c r="E26" s="8">
        <v>0</v>
      </c>
      <c r="F26" s="87">
        <f t="shared" si="1"/>
        <v>0</v>
      </c>
      <c r="G26" s="174">
        <f t="shared" si="2"/>
        <v>0</v>
      </c>
      <c r="H26" s="8"/>
      <c r="I26" s="52">
        <v>0</v>
      </c>
    </row>
    <row r="27" spans="1:9" ht="12.75">
      <c r="A27" s="50" t="s">
        <v>0</v>
      </c>
      <c r="B27" s="26"/>
      <c r="C27" s="9"/>
      <c r="D27" s="87" t="s">
        <v>0</v>
      </c>
      <c r="E27" s="9"/>
      <c r="F27" s="87" t="s">
        <v>0</v>
      </c>
      <c r="G27" s="175"/>
      <c r="H27" s="10"/>
      <c r="I27" s="104"/>
    </row>
    <row r="28" spans="1:9" ht="14.25">
      <c r="A28" s="103" t="s">
        <v>81</v>
      </c>
      <c r="B28" s="111">
        <v>13</v>
      </c>
      <c r="C28" s="23">
        <f>SUM(C20:C26)</f>
        <v>854899884</v>
      </c>
      <c r="D28" s="344">
        <f>+C28/$C$28*100</f>
        <v>100</v>
      </c>
      <c r="E28" s="23">
        <f>SUM(E20:E26)</f>
        <v>815718145</v>
      </c>
      <c r="F28" s="344">
        <f>+E28/$E$28*100</f>
        <v>100</v>
      </c>
      <c r="G28" s="176">
        <f>SUM(C28-E28)</f>
        <v>39181739</v>
      </c>
      <c r="H28" s="23"/>
      <c r="I28" s="53">
        <f t="shared" si="3"/>
        <v>4.803342826216033</v>
      </c>
    </row>
    <row r="29" spans="1:9" ht="12.75">
      <c r="A29" s="50"/>
      <c r="B29" s="26"/>
      <c r="C29" s="6"/>
      <c r="D29" s="6"/>
      <c r="E29" s="6"/>
      <c r="F29" s="9"/>
      <c r="G29" s="175"/>
      <c r="H29" s="10"/>
      <c r="I29" s="54"/>
    </row>
    <row r="30" spans="1:9" ht="15" thickBot="1">
      <c r="A30" s="212" t="s">
        <v>12</v>
      </c>
      <c r="B30" s="114">
        <v>14</v>
      </c>
      <c r="C30" s="21">
        <f>SUM(C15-C28)</f>
        <v>197944943</v>
      </c>
      <c r="D30" s="354">
        <f>+C30/$C$30*100</f>
        <v>100</v>
      </c>
      <c r="E30" s="21">
        <f>SUM(E15-E28)</f>
        <v>130142017</v>
      </c>
      <c r="F30" s="354">
        <f>+E30/$E$30*100</f>
        <v>100</v>
      </c>
      <c r="G30" s="179">
        <f>SUM(C30-E30)</f>
        <v>67802926</v>
      </c>
      <c r="H30" s="21"/>
      <c r="I30" s="404">
        <f>G30/E30*100</f>
        <v>52.09918177309332</v>
      </c>
    </row>
    <row r="31" spans="1:9" ht="13.5" thickTop="1">
      <c r="A31" s="115" t="s">
        <v>832</v>
      </c>
      <c r="B31" s="26"/>
      <c r="C31" s="6"/>
      <c r="D31" s="6"/>
      <c r="E31" s="13"/>
      <c r="F31" s="13"/>
      <c r="G31" s="2"/>
      <c r="H31" s="2"/>
      <c r="I31" s="64"/>
    </row>
    <row r="32" spans="1:9" ht="12.75">
      <c r="A32" s="38"/>
      <c r="B32" s="26"/>
      <c r="C32" s="6"/>
      <c r="D32" s="6"/>
      <c r="E32" s="13"/>
      <c r="F32" s="13"/>
      <c r="G32" s="2"/>
      <c r="H32" s="2"/>
      <c r="I32" s="64"/>
    </row>
    <row r="33" spans="1:9" ht="12.75">
      <c r="A33" s="36" t="s">
        <v>0</v>
      </c>
      <c r="B33" s="26"/>
      <c r="C33" s="6"/>
      <c r="D33" s="6"/>
      <c r="E33" s="13"/>
      <c r="F33" s="13"/>
      <c r="G33" s="13"/>
      <c r="H33" s="13"/>
      <c r="I33" s="37"/>
    </row>
    <row r="34" spans="1:9" ht="12.75">
      <c r="A34" s="36"/>
      <c r="B34" s="26"/>
      <c r="C34" s="6"/>
      <c r="D34" s="6"/>
      <c r="E34" s="13"/>
      <c r="F34" s="13"/>
      <c r="G34" s="13"/>
      <c r="H34" s="13"/>
      <c r="I34" s="37"/>
    </row>
    <row r="35" spans="1:9" ht="12.75">
      <c r="A35" s="236" t="s">
        <v>853</v>
      </c>
      <c r="B35" s="31"/>
      <c r="C35" s="237" t="s">
        <v>856</v>
      </c>
      <c r="D35" s="2"/>
      <c r="E35" s="16"/>
      <c r="F35" s="39"/>
      <c r="G35" s="238" t="s">
        <v>853</v>
      </c>
      <c r="H35" s="39"/>
      <c r="I35" s="63"/>
    </row>
    <row r="36" spans="1:9" ht="12.75">
      <c r="A36" s="36"/>
      <c r="B36" s="31"/>
      <c r="C36" s="24"/>
      <c r="D36" s="2"/>
      <c r="E36" s="16"/>
      <c r="F36" s="39"/>
      <c r="G36" s="24"/>
      <c r="H36" s="39"/>
      <c r="I36" s="63"/>
    </row>
    <row r="37" spans="1:9" ht="12.75">
      <c r="A37" s="36" t="s">
        <v>168</v>
      </c>
      <c r="B37" s="29"/>
      <c r="C37" s="14" t="s">
        <v>172</v>
      </c>
      <c r="D37" s="14"/>
      <c r="E37" s="14"/>
      <c r="F37" s="14" t="s">
        <v>834</v>
      </c>
      <c r="G37" s="44"/>
      <c r="H37" s="16"/>
      <c r="I37" s="69"/>
    </row>
    <row r="38" spans="1:9" ht="12.75">
      <c r="A38" s="36" t="s">
        <v>82</v>
      </c>
      <c r="B38" s="29"/>
      <c r="C38" s="14" t="s">
        <v>83</v>
      </c>
      <c r="D38" s="14"/>
      <c r="E38" s="14"/>
      <c r="F38" s="14"/>
      <c r="G38" s="14" t="s">
        <v>782</v>
      </c>
      <c r="H38" s="2"/>
      <c r="I38" s="64"/>
    </row>
    <row r="39" spans="1:9" ht="12.75">
      <c r="A39" s="38"/>
      <c r="B39" s="31"/>
      <c r="C39" s="14" t="s">
        <v>84</v>
      </c>
      <c r="D39" s="2"/>
      <c r="E39" s="2"/>
      <c r="F39" s="2"/>
      <c r="G39" s="44" t="s">
        <v>835</v>
      </c>
      <c r="H39" s="44"/>
      <c r="I39" s="56"/>
    </row>
    <row r="40" spans="1:9" ht="13.5" thickBot="1">
      <c r="A40" s="166" t="s">
        <v>174</v>
      </c>
      <c r="B40" s="65"/>
      <c r="C40" s="122" t="s">
        <v>173</v>
      </c>
      <c r="D40" s="66"/>
      <c r="E40" s="41"/>
      <c r="F40" s="122" t="s">
        <v>641</v>
      </c>
      <c r="G40" s="41"/>
      <c r="H40" s="41"/>
      <c r="I40" s="42"/>
    </row>
    <row r="41" ht="13.5" thickTop="1"/>
    <row r="46" ht="12.75">
      <c r="A46" s="125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7" ht="12.75">
      <c r="A59" s="151"/>
      <c r="B59" s="151"/>
      <c r="C59" s="160"/>
      <c r="D59" s="160"/>
      <c r="E59" s="160"/>
      <c r="G59" s="123"/>
    </row>
    <row r="60" spans="1:7" ht="12.75">
      <c r="A60" s="151"/>
      <c r="B60" s="151"/>
      <c r="C60" s="160"/>
      <c r="D60" s="160"/>
      <c r="E60" s="160"/>
      <c r="G60" s="123"/>
    </row>
    <row r="61" spans="1:7" ht="12.75">
      <c r="A61" s="151"/>
      <c r="B61" s="151"/>
      <c r="C61" s="160"/>
      <c r="D61" s="160"/>
      <c r="E61" s="160"/>
      <c r="G61" s="123"/>
    </row>
    <row r="62" spans="1:7" ht="12.75">
      <c r="A62" s="151"/>
      <c r="B62" s="151"/>
      <c r="C62" s="160"/>
      <c r="D62" s="160"/>
      <c r="E62" s="160"/>
      <c r="G62" s="123"/>
    </row>
    <row r="63" spans="1:7" ht="12.75">
      <c r="A63" s="151"/>
      <c r="B63" s="151"/>
      <c r="C63" s="160"/>
      <c r="D63" s="160"/>
      <c r="E63" s="160"/>
      <c r="G63" s="123"/>
    </row>
    <row r="64" spans="1:7" ht="12.75">
      <c r="A64" s="151"/>
      <c r="B64" s="151"/>
      <c r="C64" s="160"/>
      <c r="D64" s="160"/>
      <c r="E64" s="160"/>
      <c r="G64" s="117"/>
    </row>
    <row r="65" spans="1:7" ht="12.75">
      <c r="A65" s="151"/>
      <c r="B65" s="151"/>
      <c r="C65" s="160"/>
      <c r="D65" s="160"/>
      <c r="E65" s="160"/>
      <c r="G65" s="123"/>
    </row>
    <row r="66" spans="1:5" ht="12.75">
      <c r="A66" s="151"/>
      <c r="B66" s="151"/>
      <c r="C66" s="160"/>
      <c r="D66" s="160"/>
      <c r="E66" s="160"/>
    </row>
    <row r="67" spans="1:5" ht="12.75">
      <c r="A67" s="151"/>
      <c r="B67" s="151"/>
      <c r="C67" s="160"/>
      <c r="D67" s="160"/>
      <c r="E67" s="160"/>
    </row>
    <row r="68" spans="1:5" ht="12.75">
      <c r="A68" s="151"/>
      <c r="B68" s="151"/>
      <c r="C68" s="160"/>
      <c r="D68" s="160"/>
      <c r="E68" s="160"/>
    </row>
    <row r="69" spans="1:7" ht="12.75">
      <c r="A69" s="151"/>
      <c r="B69" s="151"/>
      <c r="C69" s="160"/>
      <c r="D69" s="160"/>
      <c r="E69" s="160"/>
      <c r="G69" s="123"/>
    </row>
    <row r="70" spans="1:7" ht="12.75">
      <c r="A70" s="151"/>
      <c r="B70" s="151"/>
      <c r="C70" s="160"/>
      <c r="D70" s="160"/>
      <c r="E70" s="160"/>
      <c r="G70" s="123"/>
    </row>
    <row r="71" spans="1:7" ht="12.75">
      <c r="A71" s="151"/>
      <c r="B71" s="151"/>
      <c r="C71" s="160"/>
      <c r="D71" s="160"/>
      <c r="E71" s="160"/>
      <c r="G71" s="123"/>
    </row>
    <row r="72" spans="1:7" ht="12.75">
      <c r="A72" s="151"/>
      <c r="B72" s="151"/>
      <c r="C72" s="160"/>
      <c r="D72" s="160"/>
      <c r="E72" s="160"/>
      <c r="G72" s="123"/>
    </row>
    <row r="73" spans="3:5" ht="12.75">
      <c r="C73" s="167"/>
      <c r="D73" s="167"/>
      <c r="E73" s="167"/>
    </row>
    <row r="74" spans="3:7" ht="12.75">
      <c r="C74" s="167"/>
      <c r="D74" s="167"/>
      <c r="E74" s="167"/>
      <c r="G74" s="123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7" ht="12.75">
      <c r="A77" s="151"/>
      <c r="B77" s="151"/>
      <c r="C77" s="160"/>
      <c r="D77" s="160"/>
      <c r="E77" s="160"/>
      <c r="G77" s="123"/>
    </row>
  </sheetData>
  <sheetProtection/>
  <mergeCells count="5">
    <mergeCell ref="A2:I2"/>
    <mergeCell ref="A3:I3"/>
    <mergeCell ref="A4:I4"/>
    <mergeCell ref="A5:I5"/>
    <mergeCell ref="G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ignoredErrors>
    <ignoredError sqref="D15:G17 D27:G30 D20:D26 F20:G26 D19:G19 D18 F18:G1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showGridLines="0" zoomScalePageLayoutView="0" workbookViewId="0" topLeftCell="A28">
      <selection activeCell="F73" sqref="F73"/>
    </sheetView>
  </sheetViews>
  <sheetFormatPr defaultColWidth="11.421875" defaultRowHeight="12.75"/>
  <cols>
    <col min="5" max="5" width="29.8515625" style="0" bestFit="1" customWidth="1"/>
    <col min="8" max="8" width="19.8515625" style="0" bestFit="1" customWidth="1"/>
    <col min="10" max="10" width="16.57421875" style="0" customWidth="1"/>
    <col min="11" max="11" width="15.421875" style="0" customWidth="1"/>
  </cols>
  <sheetData>
    <row r="1" ht="13.5" thickBot="1"/>
    <row r="2" spans="1:8" ht="16.5" thickBot="1" thickTop="1">
      <c r="A2" s="470" t="s">
        <v>19</v>
      </c>
      <c r="B2" s="471"/>
      <c r="C2" s="471"/>
      <c r="D2" s="471"/>
      <c r="E2" s="471"/>
      <c r="F2" s="471"/>
      <c r="G2" s="471"/>
      <c r="H2" s="472"/>
    </row>
    <row r="3" spans="1:8" ht="13.5" thickTop="1">
      <c r="A3" s="538" t="s">
        <v>216</v>
      </c>
      <c r="B3" s="539"/>
      <c r="C3" s="539"/>
      <c r="D3" s="539"/>
      <c r="E3" s="539"/>
      <c r="F3" s="539"/>
      <c r="G3" s="539"/>
      <c r="H3" s="540"/>
    </row>
    <row r="4" spans="1:8" ht="12.75">
      <c r="A4" s="481" t="s">
        <v>845</v>
      </c>
      <c r="B4" s="482"/>
      <c r="C4" s="482"/>
      <c r="D4" s="482"/>
      <c r="E4" s="482"/>
      <c r="F4" s="482"/>
      <c r="G4" s="482"/>
      <c r="H4" s="483"/>
    </row>
    <row r="5" spans="1:9" ht="13.5" thickBot="1">
      <c r="A5" s="478" t="s">
        <v>847</v>
      </c>
      <c r="B5" s="479"/>
      <c r="C5" s="479"/>
      <c r="D5" s="479"/>
      <c r="E5" s="479"/>
      <c r="F5" s="479"/>
      <c r="G5" s="479"/>
      <c r="H5" s="480"/>
      <c r="I5" s="35"/>
    </row>
    <row r="6" spans="1:8" ht="13.5" thickTop="1">
      <c r="A6" s="240"/>
      <c r="B6" s="241"/>
      <c r="C6" s="242"/>
      <c r="D6" s="243"/>
      <c r="E6" s="244" t="s">
        <v>779</v>
      </c>
      <c r="F6" s="245"/>
      <c r="G6" s="245"/>
      <c r="H6" s="246" t="s">
        <v>779</v>
      </c>
    </row>
    <row r="7" spans="1:8" ht="12.75">
      <c r="A7" s="240"/>
      <c r="B7" s="241"/>
      <c r="C7" s="242"/>
      <c r="D7" s="243"/>
      <c r="E7" s="247" t="s">
        <v>780</v>
      </c>
      <c r="F7" s="245"/>
      <c r="G7" s="245"/>
      <c r="H7" s="248" t="s">
        <v>780</v>
      </c>
    </row>
    <row r="8" spans="1:8" ht="12.75">
      <c r="A8" s="240"/>
      <c r="B8" s="241"/>
      <c r="C8" s="242"/>
      <c r="D8" s="243" t="s">
        <v>0</v>
      </c>
      <c r="E8" s="247">
        <v>2022</v>
      </c>
      <c r="F8" s="249" t="s">
        <v>0</v>
      </c>
      <c r="G8" s="247"/>
      <c r="H8" s="248">
        <v>2021</v>
      </c>
    </row>
    <row r="9" spans="1:8" ht="12.75">
      <c r="A9" s="240"/>
      <c r="B9" s="241"/>
      <c r="C9" s="242"/>
      <c r="D9" s="243"/>
      <c r="E9" s="247"/>
      <c r="F9" s="249"/>
      <c r="G9" s="247"/>
      <c r="H9" s="248"/>
    </row>
    <row r="10" spans="1:8" ht="12.75">
      <c r="A10" s="250" t="s">
        <v>217</v>
      </c>
      <c r="B10" s="251"/>
      <c r="C10" s="252"/>
      <c r="D10" s="253"/>
      <c r="E10" s="254"/>
      <c r="F10" s="254"/>
      <c r="G10" s="254"/>
      <c r="H10" s="255"/>
    </row>
    <row r="11" spans="1:8" ht="12.75">
      <c r="A11" s="250"/>
      <c r="B11" s="251"/>
      <c r="C11" s="252"/>
      <c r="D11" s="253"/>
      <c r="E11" s="254"/>
      <c r="F11" s="254"/>
      <c r="G11" s="254"/>
      <c r="H11" s="255"/>
    </row>
    <row r="12" spans="1:8" ht="12.75">
      <c r="A12" s="240"/>
      <c r="B12" s="256" t="s">
        <v>636</v>
      </c>
      <c r="C12" s="257"/>
      <c r="D12" s="257"/>
      <c r="E12" s="258">
        <f>SUM(H15)</f>
        <v>6312569014</v>
      </c>
      <c r="F12" s="258"/>
      <c r="G12" s="258"/>
      <c r="H12" s="259">
        <v>5931290484</v>
      </c>
    </row>
    <row r="13" spans="1:8" ht="12.75">
      <c r="A13" s="240"/>
      <c r="B13" s="256" t="s">
        <v>646</v>
      </c>
      <c r="C13" s="257"/>
      <c r="D13" s="257"/>
      <c r="E13" s="258">
        <f>+'Estado de Situación Financiera'!H83</f>
        <v>511222260.47999954</v>
      </c>
      <c r="F13" s="258"/>
      <c r="G13" s="258"/>
      <c r="H13" s="259">
        <v>828323773</v>
      </c>
    </row>
    <row r="14" spans="1:8" ht="12.75">
      <c r="A14" s="240"/>
      <c r="B14" s="256" t="s">
        <v>647</v>
      </c>
      <c r="C14" s="257"/>
      <c r="D14" s="257"/>
      <c r="E14" s="260"/>
      <c r="F14" s="258"/>
      <c r="G14" s="258"/>
      <c r="H14" s="261">
        <v>-447045243</v>
      </c>
    </row>
    <row r="15" spans="1:8" ht="12.75">
      <c r="A15" s="240"/>
      <c r="B15" s="262" t="s">
        <v>219</v>
      </c>
      <c r="C15" s="263"/>
      <c r="D15" s="264"/>
      <c r="E15" s="265">
        <f>SUM(E12:E14)</f>
        <v>6823791274.48</v>
      </c>
      <c r="F15" s="258"/>
      <c r="G15" s="266"/>
      <c r="H15" s="267">
        <f>SUM(H12:H14)</f>
        <v>6312569014</v>
      </c>
    </row>
    <row r="16" spans="1:11" ht="12.75">
      <c r="A16" s="240"/>
      <c r="B16" s="257"/>
      <c r="C16" s="256"/>
      <c r="D16" s="264"/>
      <c r="E16" s="258"/>
      <c r="F16" s="258"/>
      <c r="G16" s="258"/>
      <c r="H16" s="259" t="s">
        <v>0</v>
      </c>
      <c r="J16" s="346"/>
      <c r="K16" s="346"/>
    </row>
    <row r="17" spans="1:8" ht="12.75">
      <c r="A17" s="250" t="s">
        <v>655</v>
      </c>
      <c r="B17" s="251"/>
      <c r="C17" s="252"/>
      <c r="D17" s="264"/>
      <c r="E17" s="258"/>
      <c r="F17" s="258"/>
      <c r="G17" s="258"/>
      <c r="H17" s="259"/>
    </row>
    <row r="18" spans="1:8" ht="12.75">
      <c r="A18" s="250"/>
      <c r="B18" s="251"/>
      <c r="C18" s="252"/>
      <c r="D18" s="264"/>
      <c r="E18" s="258"/>
      <c r="F18" s="258"/>
      <c r="G18" s="258"/>
      <c r="H18" s="259"/>
    </row>
    <row r="19" spans="1:8" ht="12.75">
      <c r="A19" s="240"/>
      <c r="B19" s="256" t="s">
        <v>218</v>
      </c>
      <c r="C19" s="257"/>
      <c r="D19" s="257"/>
      <c r="E19" s="258">
        <f>+H21</f>
        <v>449825177</v>
      </c>
      <c r="F19" s="258"/>
      <c r="G19" s="258"/>
      <c r="H19" s="259">
        <v>444637415</v>
      </c>
    </row>
    <row r="20" spans="1:8" ht="12.75">
      <c r="A20" s="240"/>
      <c r="B20" s="256" t="s">
        <v>648</v>
      </c>
      <c r="C20" s="257"/>
      <c r="D20" s="257"/>
      <c r="E20" s="258">
        <v>26028403</v>
      </c>
      <c r="F20" s="258"/>
      <c r="G20" s="258"/>
      <c r="H20" s="259">
        <v>5187762</v>
      </c>
    </row>
    <row r="21" spans="1:11" ht="12.75">
      <c r="A21" s="240"/>
      <c r="B21" s="262" t="s">
        <v>219</v>
      </c>
      <c r="C21" s="262"/>
      <c r="D21" s="264"/>
      <c r="E21" s="265">
        <f>SUM(E19:E20)</f>
        <v>475853580</v>
      </c>
      <c r="F21" s="258"/>
      <c r="G21" s="266"/>
      <c r="H21" s="267">
        <f>SUM(H19:H20)</f>
        <v>449825177</v>
      </c>
      <c r="K21" s="346"/>
    </row>
    <row r="22" spans="1:8" ht="12.75">
      <c r="A22" s="240"/>
      <c r="B22" s="257"/>
      <c r="C22" s="262"/>
      <c r="D22" s="264"/>
      <c r="E22" s="266"/>
      <c r="F22" s="258"/>
      <c r="G22" s="266"/>
      <c r="H22" s="268"/>
    </row>
    <row r="23" spans="1:8" ht="12.75">
      <c r="A23" s="250" t="s">
        <v>220</v>
      </c>
      <c r="B23" s="251"/>
      <c r="C23" s="252"/>
      <c r="D23" s="264"/>
      <c r="E23" s="258"/>
      <c r="F23" s="258"/>
      <c r="G23" s="258"/>
      <c r="H23" s="259"/>
    </row>
    <row r="24" spans="1:8" ht="12.75">
      <c r="A24" s="240"/>
      <c r="B24" s="256" t="s">
        <v>218</v>
      </c>
      <c r="C24" s="257"/>
      <c r="D24" s="257"/>
      <c r="E24" s="258">
        <f>23533290.6+10977610.85</f>
        <v>34510901.45</v>
      </c>
      <c r="F24" s="258"/>
      <c r="G24" s="258"/>
      <c r="H24" s="259">
        <v>34510901.45</v>
      </c>
    </row>
    <row r="25" spans="1:8" ht="12.75">
      <c r="A25" s="240"/>
      <c r="B25" s="256" t="s">
        <v>649</v>
      </c>
      <c r="C25" s="257"/>
      <c r="D25" s="257"/>
      <c r="E25" s="258">
        <v>0</v>
      </c>
      <c r="F25" s="258"/>
      <c r="G25" s="258"/>
      <c r="H25" s="259">
        <v>0</v>
      </c>
    </row>
    <row r="26" spans="1:8" ht="12.75">
      <c r="A26" s="240"/>
      <c r="B26" s="256" t="s">
        <v>657</v>
      </c>
      <c r="C26" s="257"/>
      <c r="D26" s="257"/>
      <c r="E26" s="258">
        <v>0</v>
      </c>
      <c r="F26" s="258"/>
      <c r="G26" s="258"/>
      <c r="H26" s="259">
        <v>0</v>
      </c>
    </row>
    <row r="27" spans="1:8" ht="12.75">
      <c r="A27" s="240"/>
      <c r="B27" s="262" t="s">
        <v>219</v>
      </c>
      <c r="C27" s="262"/>
      <c r="D27" s="264"/>
      <c r="E27" s="265">
        <f>+E24+E25-E26</f>
        <v>34510901.45</v>
      </c>
      <c r="F27" s="258"/>
      <c r="G27" s="265"/>
      <c r="H27" s="267">
        <f>SUM(H24:H24)</f>
        <v>34510901.45</v>
      </c>
    </row>
    <row r="28" spans="1:8" ht="12.75">
      <c r="A28" s="240"/>
      <c r="B28" s="257"/>
      <c r="C28" s="262"/>
      <c r="D28" s="264"/>
      <c r="E28" s="266"/>
      <c r="F28" s="258"/>
      <c r="G28" s="266"/>
      <c r="H28" s="268"/>
    </row>
    <row r="29" spans="1:8" ht="12.75">
      <c r="A29" s="250" t="s">
        <v>654</v>
      </c>
      <c r="B29" s="257"/>
      <c r="C29" s="262"/>
      <c r="D29" s="264"/>
      <c r="E29" s="266"/>
      <c r="F29" s="258"/>
      <c r="G29" s="266"/>
      <c r="H29" s="268"/>
    </row>
    <row r="30" spans="1:8" ht="12.75">
      <c r="A30" s="240"/>
      <c r="B30" s="256" t="s">
        <v>218</v>
      </c>
      <c r="C30" s="257"/>
      <c r="D30" s="264"/>
      <c r="E30" s="266">
        <f>SUM(H33)</f>
        <v>14745982</v>
      </c>
      <c r="F30" s="258"/>
      <c r="G30" s="266"/>
      <c r="H30" s="268">
        <v>14745982</v>
      </c>
    </row>
    <row r="31" spans="1:8" ht="12.75">
      <c r="A31" s="240"/>
      <c r="B31" s="256" t="s">
        <v>650</v>
      </c>
      <c r="C31" s="257"/>
      <c r="D31" s="264"/>
      <c r="E31" s="258">
        <v>0</v>
      </c>
      <c r="F31" s="258"/>
      <c r="G31" s="266"/>
      <c r="H31" s="259">
        <v>0</v>
      </c>
    </row>
    <row r="32" spans="1:8" ht="12.75">
      <c r="A32" s="240"/>
      <c r="B32" s="256" t="s">
        <v>657</v>
      </c>
      <c r="C32" s="257"/>
      <c r="D32" s="264"/>
      <c r="E32" s="266">
        <v>0</v>
      </c>
      <c r="F32" s="258"/>
      <c r="G32" s="266"/>
      <c r="H32" s="268">
        <v>0</v>
      </c>
    </row>
    <row r="33" spans="1:8" ht="12.75">
      <c r="A33" s="240"/>
      <c r="B33" s="262" t="s">
        <v>219</v>
      </c>
      <c r="C33" s="262"/>
      <c r="D33" s="264"/>
      <c r="E33" s="265">
        <f>+E30+E31-E32</f>
        <v>14745982</v>
      </c>
      <c r="F33" s="258"/>
      <c r="G33" s="266"/>
      <c r="H33" s="267">
        <f>SUM(H30:H32)</f>
        <v>14745982</v>
      </c>
    </row>
    <row r="34" spans="1:8" ht="12.75">
      <c r="A34" s="240"/>
      <c r="B34" s="257"/>
      <c r="C34" s="262"/>
      <c r="D34" s="264"/>
      <c r="E34" s="266"/>
      <c r="F34" s="258"/>
      <c r="G34" s="266"/>
      <c r="H34" s="268"/>
    </row>
    <row r="35" spans="1:8" ht="12.75">
      <c r="A35" s="250" t="s">
        <v>221</v>
      </c>
      <c r="B35" s="257"/>
      <c r="C35" s="262"/>
      <c r="D35" s="264"/>
      <c r="E35" s="266"/>
      <c r="F35" s="258"/>
      <c r="G35" s="266"/>
      <c r="H35" s="268"/>
    </row>
    <row r="36" spans="1:8" ht="12.75">
      <c r="A36" s="250"/>
      <c r="B36" s="256" t="s">
        <v>218</v>
      </c>
      <c r="C36" s="262"/>
      <c r="D36" s="264"/>
      <c r="E36" s="258">
        <f>SUM(H39)</f>
        <v>706449588</v>
      </c>
      <c r="F36" s="258"/>
      <c r="G36" s="266"/>
      <c r="H36" s="259">
        <v>725050307</v>
      </c>
    </row>
    <row r="37" spans="1:8" ht="12.75">
      <c r="A37" s="250"/>
      <c r="B37" s="256" t="s">
        <v>649</v>
      </c>
      <c r="C37" s="262"/>
      <c r="D37" s="264"/>
      <c r="E37" s="266">
        <v>0</v>
      </c>
      <c r="F37" s="258"/>
      <c r="G37" s="266"/>
      <c r="H37" s="268">
        <v>0</v>
      </c>
    </row>
    <row r="38" spans="1:8" ht="12.75">
      <c r="A38" s="250"/>
      <c r="B38" s="256" t="s">
        <v>657</v>
      </c>
      <c r="C38" s="262"/>
      <c r="D38" s="264"/>
      <c r="E38" s="258">
        <v>0</v>
      </c>
      <c r="F38" s="258"/>
      <c r="G38" s="266"/>
      <c r="H38" s="268">
        <v>18600719</v>
      </c>
    </row>
    <row r="39" spans="1:8" ht="12.75">
      <c r="A39" s="250"/>
      <c r="B39" s="262" t="s">
        <v>219</v>
      </c>
      <c r="C39" s="262"/>
      <c r="D39" s="264"/>
      <c r="E39" s="265">
        <f>+E36+E37-E38</f>
        <v>706449588</v>
      </c>
      <c r="F39" s="258"/>
      <c r="G39" s="266"/>
      <c r="H39" s="267">
        <f>+H36-H38</f>
        <v>706449588</v>
      </c>
    </row>
    <row r="40" spans="1:8" ht="12.75">
      <c r="A40" s="250"/>
      <c r="B40" s="257"/>
      <c r="C40" s="262"/>
      <c r="D40" s="264"/>
      <c r="E40" s="266"/>
      <c r="F40" s="258"/>
      <c r="G40" s="266"/>
      <c r="H40" s="268"/>
    </row>
    <row r="41" spans="1:8" ht="12.75">
      <c r="A41" s="250" t="s">
        <v>849</v>
      </c>
      <c r="B41" s="251"/>
      <c r="C41" s="252"/>
      <c r="D41" s="269"/>
      <c r="E41" s="258"/>
      <c r="F41" s="258"/>
      <c r="G41" s="258"/>
      <c r="H41" s="259"/>
    </row>
    <row r="42" spans="1:8" ht="12.75">
      <c r="A42" s="250"/>
      <c r="B42" s="251"/>
      <c r="C42" s="252"/>
      <c r="D42" s="269"/>
      <c r="E42" s="258"/>
      <c r="F42" s="258"/>
      <c r="G42" s="258"/>
      <c r="H42" s="259"/>
    </row>
    <row r="43" spans="1:8" ht="12.75">
      <c r="A43" s="240"/>
      <c r="B43" s="256" t="s">
        <v>846</v>
      </c>
      <c r="C43" s="257"/>
      <c r="D43" s="264"/>
      <c r="E43" s="258">
        <f>SUM(H46)</f>
        <v>130142017</v>
      </c>
      <c r="F43" s="258"/>
      <c r="G43" s="258"/>
      <c r="H43" s="259">
        <v>25938812</v>
      </c>
    </row>
    <row r="44" spans="1:8" ht="12.75">
      <c r="A44" s="240"/>
      <c r="B44" s="256" t="s">
        <v>850</v>
      </c>
      <c r="C44" s="257"/>
      <c r="D44" s="264"/>
      <c r="E44" s="270">
        <f>-E43</f>
        <v>-130142017</v>
      </c>
      <c r="F44" s="258"/>
      <c r="G44" s="270"/>
      <c r="H44" s="271">
        <v>-25938812</v>
      </c>
    </row>
    <row r="45" spans="1:8" ht="12.75">
      <c r="A45" s="240"/>
      <c r="B45" s="256" t="s">
        <v>851</v>
      </c>
      <c r="C45" s="257"/>
      <c r="D45" s="264"/>
      <c r="E45" s="258">
        <f>+'Estado integral de resultados'!C30</f>
        <v>197944943</v>
      </c>
      <c r="F45" s="258"/>
      <c r="G45" s="258"/>
      <c r="H45" s="259">
        <v>130142017</v>
      </c>
    </row>
    <row r="46" spans="1:8" ht="12.75">
      <c r="A46" s="240"/>
      <c r="B46" s="262" t="s">
        <v>219</v>
      </c>
      <c r="C46" s="262"/>
      <c r="D46" s="264"/>
      <c r="E46" s="265">
        <f>SUM(E43:E45)</f>
        <v>197944943</v>
      </c>
      <c r="F46" s="258"/>
      <c r="G46" s="266"/>
      <c r="H46" s="267">
        <f>SUM(H43:H45)</f>
        <v>130142017</v>
      </c>
    </row>
    <row r="47" spans="1:8" ht="12.75">
      <c r="A47" s="240"/>
      <c r="B47" s="257"/>
      <c r="C47" s="256"/>
      <c r="D47" s="264"/>
      <c r="E47" s="272"/>
      <c r="F47" s="272"/>
      <c r="G47" s="272"/>
      <c r="H47" s="273"/>
    </row>
    <row r="48" spans="1:10" ht="13.5" thickBot="1">
      <c r="A48" s="240"/>
      <c r="B48" s="257"/>
      <c r="C48" s="262" t="s">
        <v>222</v>
      </c>
      <c r="D48" s="264"/>
      <c r="E48" s="274">
        <f>+E15+E21+E27+E33+E39+E46</f>
        <v>8253296268.929999</v>
      </c>
      <c r="F48" s="258"/>
      <c r="G48" s="275"/>
      <c r="H48" s="276">
        <f>+H15+H21+H27+H33+H39+H46</f>
        <v>7648242679.45</v>
      </c>
      <c r="J48" s="346"/>
    </row>
    <row r="49" spans="1:10" ht="12.75">
      <c r="A49" s="277"/>
      <c r="B49" s="278"/>
      <c r="C49" s="278"/>
      <c r="D49" s="278"/>
      <c r="E49" s="272"/>
      <c r="F49" s="272"/>
      <c r="G49" s="272"/>
      <c r="H49" s="279"/>
      <c r="J49" s="346"/>
    </row>
    <row r="50" spans="1:8" ht="12.75">
      <c r="A50" s="280"/>
      <c r="B50" s="35"/>
      <c r="C50" s="35"/>
      <c r="D50" s="35"/>
      <c r="E50" s="35"/>
      <c r="F50" s="35"/>
      <c r="G50" s="35"/>
      <c r="H50" s="281"/>
    </row>
    <row r="51" spans="1:8" ht="12.75">
      <c r="A51" s="282" t="s">
        <v>651</v>
      </c>
      <c r="B51" s="6"/>
      <c r="C51" s="13"/>
      <c r="D51" s="13"/>
      <c r="E51" s="13"/>
      <c r="F51" s="13"/>
      <c r="G51" s="13"/>
      <c r="H51" s="37"/>
    </row>
    <row r="52" spans="1:8" ht="12.75">
      <c r="A52" s="36"/>
      <c r="B52" s="6"/>
      <c r="C52" s="13"/>
      <c r="D52" s="13"/>
      <c r="E52" s="13"/>
      <c r="F52" s="13"/>
      <c r="G52" s="13"/>
      <c r="H52" s="37"/>
    </row>
    <row r="53" spans="1:8" ht="12.75">
      <c r="A53" s="36"/>
      <c r="B53" s="6"/>
      <c r="C53" s="13"/>
      <c r="D53" s="13"/>
      <c r="E53" s="13"/>
      <c r="F53" s="13"/>
      <c r="G53" s="13"/>
      <c r="H53" s="37"/>
    </row>
    <row r="54" spans="1:8" ht="12.75">
      <c r="A54" s="236" t="s">
        <v>856</v>
      </c>
      <c r="B54" s="6"/>
      <c r="C54" s="13"/>
      <c r="D54" s="237"/>
      <c r="E54" s="237" t="s">
        <v>853</v>
      </c>
      <c r="F54" s="237"/>
      <c r="G54" s="237" t="s">
        <v>853</v>
      </c>
      <c r="H54" s="37"/>
    </row>
    <row r="55" spans="1:8" ht="12.75">
      <c r="A55" s="36"/>
      <c r="B55" s="6"/>
      <c r="C55" s="13"/>
      <c r="D55" s="13"/>
      <c r="E55" s="13"/>
      <c r="F55" s="13"/>
      <c r="G55" s="13"/>
      <c r="H55" s="542"/>
    </row>
    <row r="56" spans="1:8" ht="12.75">
      <c r="A56" s="36" t="s">
        <v>836</v>
      </c>
      <c r="B56" s="6"/>
      <c r="C56" s="13"/>
      <c r="D56" s="14" t="s">
        <v>656</v>
      </c>
      <c r="E56" s="39"/>
      <c r="F56" s="14" t="s">
        <v>834</v>
      </c>
      <c r="G56" s="13"/>
      <c r="H56" s="37"/>
    </row>
    <row r="57" spans="1:8" ht="12.75">
      <c r="A57" s="36" t="s">
        <v>82</v>
      </c>
      <c r="B57" s="6"/>
      <c r="C57" s="283"/>
      <c r="D57" s="13"/>
      <c r="E57" s="403" t="s">
        <v>653</v>
      </c>
      <c r="F57" s="35"/>
      <c r="G57" s="403" t="s">
        <v>783</v>
      </c>
      <c r="H57" s="37"/>
    </row>
    <row r="58" spans="1:8" ht="12.75">
      <c r="A58" s="36"/>
      <c r="B58" s="283"/>
      <c r="C58" s="283"/>
      <c r="D58" s="14"/>
      <c r="E58" s="2" t="s">
        <v>837</v>
      </c>
      <c r="F58" s="2" t="s">
        <v>838</v>
      </c>
      <c r="G58" s="35"/>
      <c r="H58" s="281"/>
    </row>
    <row r="59" spans="1:8" ht="12.75">
      <c r="A59" s="36"/>
      <c r="B59" s="283"/>
      <c r="C59" s="283"/>
      <c r="D59" s="284" t="s">
        <v>652</v>
      </c>
      <c r="E59" s="35"/>
      <c r="F59" s="283"/>
      <c r="G59" s="14"/>
      <c r="H59" s="285"/>
    </row>
    <row r="60" spans="1:8" ht="13.5" thickBot="1">
      <c r="A60" s="40"/>
      <c r="B60" s="286"/>
      <c r="C60" s="286"/>
      <c r="D60" s="286"/>
      <c r="E60" s="286"/>
      <c r="F60" s="287"/>
      <c r="G60" s="41"/>
      <c r="H60" s="42"/>
    </row>
    <row r="61" ht="13.5" thickTop="1"/>
  </sheetData>
  <sheetProtection/>
  <mergeCells count="4">
    <mergeCell ref="A2:H2"/>
    <mergeCell ref="A3:H3"/>
    <mergeCell ref="A5:H5"/>
    <mergeCell ref="A4:H4"/>
  </mergeCells>
  <printOptions horizontalCentered="1" verticalCentered="1"/>
  <pageMargins left="0.31496062992125984" right="0.31496062992125984" top="0.9448818897637796" bottom="0.7480314960629921" header="0.31496062992125984" footer="0.31496062992125984"/>
  <pageSetup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1">
      <pane ySplit="6" topLeftCell="A49" activePane="bottomLeft" state="frozen"/>
      <selection pane="topLeft" activeCell="A1" sqref="A1"/>
      <selection pane="bottomLeft" activeCell="J70" sqref="J70"/>
    </sheetView>
  </sheetViews>
  <sheetFormatPr defaultColWidth="11.421875" defaultRowHeight="12.75"/>
  <cols>
    <col min="1" max="1" width="56.57421875" style="0" customWidth="1"/>
    <col min="2" max="2" width="22.140625" style="0" customWidth="1"/>
    <col min="3" max="3" width="6.7109375" style="0" customWidth="1"/>
    <col min="4" max="4" width="20.8515625" style="0" customWidth="1"/>
    <col min="5" max="5" width="4.8515625" style="0" bestFit="1" customWidth="1"/>
    <col min="6" max="6" width="12.57421875" style="0" bestFit="1" customWidth="1"/>
    <col min="7" max="7" width="8.8515625" style="0" bestFit="1" customWidth="1"/>
    <col min="8" max="8" width="17.00390625" style="0" customWidth="1"/>
    <col min="9" max="9" width="17.7109375" style="0" customWidth="1"/>
    <col min="10" max="10" width="14.140625" style="0" customWidth="1"/>
  </cols>
  <sheetData>
    <row r="1" spans="4:5" ht="13.5" thickBot="1">
      <c r="D1" s="338"/>
      <c r="E1" s="35"/>
    </row>
    <row r="2" spans="1:7" ht="15.75" thickTop="1">
      <c r="A2" s="470" t="s">
        <v>19</v>
      </c>
      <c r="B2" s="471"/>
      <c r="C2" s="471"/>
      <c r="D2" s="472"/>
      <c r="E2" s="337"/>
      <c r="F2" s="288"/>
      <c r="G2" s="288"/>
    </row>
    <row r="3" spans="1:7" ht="13.5">
      <c r="A3" s="484" t="s">
        <v>223</v>
      </c>
      <c r="B3" s="485"/>
      <c r="C3" s="485"/>
      <c r="D3" s="486"/>
      <c r="E3" s="336"/>
      <c r="F3" s="289"/>
      <c r="G3" s="289"/>
    </row>
    <row r="4" spans="1:7" ht="13.5">
      <c r="A4" s="484" t="s">
        <v>776</v>
      </c>
      <c r="B4" s="485"/>
      <c r="C4" s="485"/>
      <c r="D4" s="486"/>
      <c r="E4" s="336"/>
      <c r="F4" s="289"/>
      <c r="G4" s="289"/>
    </row>
    <row r="5" spans="1:5" ht="13.5" thickBot="1">
      <c r="A5" s="478" t="s">
        <v>847</v>
      </c>
      <c r="B5" s="479"/>
      <c r="C5" s="479"/>
      <c r="D5" s="479"/>
      <c r="E5" s="280"/>
    </row>
    <row r="6" spans="1:4" ht="15.75" hidden="1" thickTop="1">
      <c r="A6" s="290"/>
      <c r="B6" s="291"/>
      <c r="C6" s="291"/>
      <c r="D6" s="292"/>
    </row>
    <row r="7" spans="1:7" ht="15.75" thickTop="1">
      <c r="A7" s="293"/>
      <c r="B7" s="294" t="s">
        <v>781</v>
      </c>
      <c r="C7" s="294"/>
      <c r="D7" s="295" t="s">
        <v>781</v>
      </c>
      <c r="E7" s="294"/>
      <c r="F7" s="289"/>
      <c r="G7" s="289"/>
    </row>
    <row r="8" spans="1:7" ht="16.5" customHeight="1">
      <c r="A8" s="293"/>
      <c r="B8" s="294" t="s">
        <v>780</v>
      </c>
      <c r="C8" s="294"/>
      <c r="D8" s="295" t="s">
        <v>780</v>
      </c>
      <c r="E8" s="294"/>
      <c r="F8" s="289"/>
      <c r="G8" s="289"/>
    </row>
    <row r="9" spans="1:7" ht="13.5" customHeight="1" hidden="1">
      <c r="A9" s="293"/>
      <c r="B9" s="294"/>
      <c r="C9" s="294"/>
      <c r="D9" s="295"/>
      <c r="E9" s="294"/>
      <c r="F9" s="289"/>
      <c r="G9" s="289"/>
    </row>
    <row r="10" spans="1:7" ht="11.25" customHeight="1">
      <c r="A10" s="293"/>
      <c r="B10" s="294">
        <v>2022</v>
      </c>
      <c r="C10" s="294"/>
      <c r="D10" s="295">
        <v>2021</v>
      </c>
      <c r="E10" s="294"/>
      <c r="F10" s="289"/>
      <c r="G10" s="289"/>
    </row>
    <row r="11" spans="1:7" ht="13.5">
      <c r="A11" s="296" t="s">
        <v>224</v>
      </c>
      <c r="B11" s="297"/>
      <c r="C11" s="297"/>
      <c r="D11" s="298"/>
      <c r="E11" s="299"/>
      <c r="F11" s="289"/>
      <c r="G11" s="289"/>
    </row>
    <row r="12" spans="1:7" ht="13.5">
      <c r="A12" s="300" t="s">
        <v>777</v>
      </c>
      <c r="B12" s="533">
        <f>+'Estado integral de resultados'!C30</f>
        <v>197944943</v>
      </c>
      <c r="C12" s="378"/>
      <c r="D12" s="532">
        <f>+'Estado integral de resultados'!E30</f>
        <v>130142017</v>
      </c>
      <c r="E12" s="303"/>
      <c r="F12" s="289"/>
      <c r="G12" s="289"/>
    </row>
    <row r="13" spans="1:7" ht="25.5">
      <c r="A13" s="304" t="s">
        <v>225</v>
      </c>
      <c r="B13" s="305"/>
      <c r="C13" s="305"/>
      <c r="D13" s="306"/>
      <c r="E13" s="307"/>
      <c r="F13" s="289"/>
      <c r="G13" s="289"/>
    </row>
    <row r="14" spans="1:7" ht="13.5">
      <c r="A14" s="308" t="s">
        <v>758</v>
      </c>
      <c r="B14" s="305">
        <f>+'Estado integral de resultados'!C22</f>
        <v>12070120</v>
      </c>
      <c r="C14" s="305"/>
      <c r="D14" s="306">
        <f>+'Estado integral de resultados'!E22</f>
        <v>11880842</v>
      </c>
      <c r="E14" s="307"/>
      <c r="F14" s="309"/>
      <c r="G14" s="309"/>
    </row>
    <row r="15" spans="1:7" ht="13.5">
      <c r="A15" s="308" t="s">
        <v>701</v>
      </c>
      <c r="B15" s="305">
        <f>+'BCE DIC 2022'!F370</f>
        <v>5273962</v>
      </c>
      <c r="C15" s="305"/>
      <c r="D15" s="306">
        <v>15038521</v>
      </c>
      <c r="E15" s="307"/>
      <c r="F15" s="289"/>
      <c r="G15" s="289"/>
    </row>
    <row r="16" spans="1:7" ht="15" customHeight="1">
      <c r="A16" s="308" t="s">
        <v>759</v>
      </c>
      <c r="B16" s="305">
        <v>0</v>
      </c>
      <c r="C16" s="305"/>
      <c r="D16" s="306">
        <v>0</v>
      </c>
      <c r="E16" s="307"/>
      <c r="F16" s="289"/>
      <c r="G16" s="289"/>
    </row>
    <row r="17" spans="1:7" ht="13.5">
      <c r="A17" s="308" t="s">
        <v>760</v>
      </c>
      <c r="B17" s="305">
        <v>0</v>
      </c>
      <c r="C17" s="305"/>
      <c r="D17" s="306">
        <v>0</v>
      </c>
      <c r="E17" s="307"/>
      <c r="F17" s="289"/>
      <c r="G17" s="289"/>
    </row>
    <row r="18" spans="1:7" ht="13.5">
      <c r="A18" s="308" t="s">
        <v>702</v>
      </c>
      <c r="B18" s="305">
        <v>0</v>
      </c>
      <c r="C18" s="305"/>
      <c r="D18" s="306">
        <v>0</v>
      </c>
      <c r="E18" s="305"/>
      <c r="F18" s="289"/>
      <c r="G18" s="289"/>
    </row>
    <row r="19" spans="1:8" ht="13.5">
      <c r="A19" s="308" t="s">
        <v>703</v>
      </c>
      <c r="B19" s="399"/>
      <c r="C19" s="305"/>
      <c r="D19" s="356">
        <v>-72810734</v>
      </c>
      <c r="E19" s="307"/>
      <c r="F19" s="289"/>
      <c r="G19" s="289"/>
      <c r="H19" s="401"/>
    </row>
    <row r="20" spans="1:7" ht="13.5">
      <c r="A20" s="296" t="s">
        <v>226</v>
      </c>
      <c r="B20" s="301">
        <f>SUM(B12:B19)</f>
        <v>215289025</v>
      </c>
      <c r="C20" s="305"/>
      <c r="D20" s="302">
        <f>SUM(D12:D19)</f>
        <v>84250646</v>
      </c>
      <c r="E20" s="307"/>
      <c r="F20" s="289"/>
      <c r="G20" s="289"/>
    </row>
    <row r="21" spans="1:7" ht="9.75" customHeight="1">
      <c r="A21" s="296"/>
      <c r="B21" s="305"/>
      <c r="C21" s="305"/>
      <c r="D21" s="306"/>
      <c r="E21" s="307"/>
      <c r="F21" s="289"/>
      <c r="G21" s="289"/>
    </row>
    <row r="22" spans="1:7" ht="13.5">
      <c r="A22" s="300" t="s">
        <v>227</v>
      </c>
      <c r="B22" s="310">
        <f>SUM(B24:B37)</f>
        <v>-2323473379.3500004</v>
      </c>
      <c r="C22" s="311"/>
      <c r="D22" s="312">
        <f>SUM(D24:D37)</f>
        <v>-580275417</v>
      </c>
      <c r="E22" s="311"/>
      <c r="F22" s="435"/>
      <c r="G22" s="289"/>
    </row>
    <row r="23" spans="1:7" ht="9.75" customHeight="1">
      <c r="A23" s="300" t="s">
        <v>228</v>
      </c>
      <c r="B23" s="305"/>
      <c r="C23" s="305"/>
      <c r="D23" s="306"/>
      <c r="E23" s="307"/>
      <c r="F23" s="289"/>
      <c r="G23" s="289"/>
    </row>
    <row r="24" spans="1:8" ht="13.5">
      <c r="A24" s="308" t="s">
        <v>761</v>
      </c>
      <c r="B24" s="314">
        <f>-'Anexo Flujo Efectivo'!H10</f>
        <v>-1410426631.3100004</v>
      </c>
      <c r="C24" s="314"/>
      <c r="D24" s="315">
        <v>-145656019</v>
      </c>
      <c r="E24" s="316"/>
      <c r="F24" s="434"/>
      <c r="G24" s="289"/>
      <c r="H24" s="401"/>
    </row>
    <row r="25" spans="1:7" ht="13.5">
      <c r="A25" s="308" t="s">
        <v>762</v>
      </c>
      <c r="B25" s="314">
        <f>+'Anexo Flujo Efectivo'!L11</f>
        <v>-7939859</v>
      </c>
      <c r="C25" s="314"/>
      <c r="D25" s="315">
        <v>642118</v>
      </c>
      <c r="E25" s="316"/>
      <c r="F25" s="434"/>
      <c r="G25" s="289"/>
    </row>
    <row r="26" spans="1:7" ht="13.5">
      <c r="A26" s="308" t="s">
        <v>763</v>
      </c>
      <c r="B26" s="314">
        <f>+'Anexo Flujo Efectivo'!K17</f>
        <v>5487172</v>
      </c>
      <c r="C26" s="305"/>
      <c r="D26" s="315">
        <v>0</v>
      </c>
      <c r="E26" s="317"/>
      <c r="F26" s="434"/>
      <c r="G26" s="318"/>
    </row>
    <row r="27" spans="1:7" ht="13.5">
      <c r="A27" s="308" t="s">
        <v>764</v>
      </c>
      <c r="B27" s="314">
        <f>+'Anexo Flujo Efectivo'!K14</f>
        <v>15368734.47</v>
      </c>
      <c r="C27" s="13"/>
      <c r="D27" s="315">
        <v>-8403609</v>
      </c>
      <c r="E27" s="316"/>
      <c r="F27" s="434"/>
      <c r="G27" s="289"/>
    </row>
    <row r="28" spans="1:7" ht="13.5">
      <c r="A28" s="308" t="s">
        <v>765</v>
      </c>
      <c r="B28" s="314">
        <f>+'Anexo Flujo Efectivo'!N18</f>
        <v>0</v>
      </c>
      <c r="C28" s="13"/>
      <c r="D28" s="315">
        <v>-1196584</v>
      </c>
      <c r="E28" s="307"/>
      <c r="F28" s="434"/>
      <c r="G28" s="289"/>
    </row>
    <row r="29" spans="1:7" ht="13.5">
      <c r="A29" s="308" t="s">
        <v>229</v>
      </c>
      <c r="B29" s="314">
        <f>+'Anexo Flujo Efectivo'!L9</f>
        <v>-953018570</v>
      </c>
      <c r="C29" s="13"/>
      <c r="D29" s="315">
        <v>-420127928</v>
      </c>
      <c r="E29" s="307"/>
      <c r="F29" s="434"/>
      <c r="G29" s="289"/>
    </row>
    <row r="30" spans="1:7" ht="13.5">
      <c r="A30" s="308" t="s">
        <v>766</v>
      </c>
      <c r="B30" s="314">
        <f>+'Anexo Flujo Efectivo'!K23</f>
        <v>12759730</v>
      </c>
      <c r="C30" s="13"/>
      <c r="D30" s="315">
        <v>61582647</v>
      </c>
      <c r="E30" s="307"/>
      <c r="F30" s="434"/>
      <c r="G30" s="289"/>
    </row>
    <row r="31" spans="1:7" ht="13.5">
      <c r="A31" s="308" t="s">
        <v>230</v>
      </c>
      <c r="B31" s="314">
        <f>+'Anexo Flujo Efectivo'!L20</f>
        <v>1340119</v>
      </c>
      <c r="C31" s="320"/>
      <c r="D31" s="321"/>
      <c r="E31" s="317"/>
      <c r="F31" s="434"/>
      <c r="G31" s="289"/>
    </row>
    <row r="32" spans="1:7" ht="13.5">
      <c r="A32" s="308" t="s">
        <v>767</v>
      </c>
      <c r="B32" s="314">
        <f>+'Anexo Flujo Efectivo'!L25</f>
        <v>-3003297.000000002</v>
      </c>
      <c r="C32" s="320"/>
      <c r="D32" s="534">
        <v>2154865</v>
      </c>
      <c r="E32" s="317"/>
      <c r="F32" s="434"/>
      <c r="G32" s="289"/>
    </row>
    <row r="33" spans="1:7" ht="13.5">
      <c r="A33" s="308" t="s">
        <v>231</v>
      </c>
      <c r="B33" s="314">
        <f>+'Anexo Flujo Efectivo'!K22</f>
        <v>4008604.4899999984</v>
      </c>
      <c r="C33" s="319"/>
      <c r="D33" s="534">
        <v>4049064</v>
      </c>
      <c r="E33" s="317"/>
      <c r="F33" s="434"/>
      <c r="G33" s="289"/>
    </row>
    <row r="34" spans="1:7" ht="13.5">
      <c r="A34" s="308" t="s">
        <v>768</v>
      </c>
      <c r="B34" s="314">
        <f>+'Anexo Flujo Efectivo'!L24</f>
        <v>2597429</v>
      </c>
      <c r="C34" s="13"/>
      <c r="D34" s="535">
        <v>8256902</v>
      </c>
      <c r="E34" s="307"/>
      <c r="F34" s="434"/>
      <c r="G34" s="289"/>
    </row>
    <row r="35" spans="1:7" ht="13.5">
      <c r="A35" s="308" t="s">
        <v>769</v>
      </c>
      <c r="B35" s="314">
        <f>+'Anexo Flujo Efectivo'!K26</f>
        <v>9353189</v>
      </c>
      <c r="C35" s="305"/>
      <c r="D35" s="315">
        <v>-81576873</v>
      </c>
      <c r="E35" s="307"/>
      <c r="F35" s="434"/>
      <c r="G35" s="289"/>
    </row>
    <row r="36" spans="1:7" ht="13.5" hidden="1">
      <c r="A36" s="308" t="s">
        <v>232</v>
      </c>
      <c r="B36" s="398">
        <v>0</v>
      </c>
      <c r="C36" s="305"/>
      <c r="D36" s="306">
        <v>0</v>
      </c>
      <c r="E36" s="307"/>
      <c r="F36" s="289"/>
      <c r="G36" s="289"/>
    </row>
    <row r="37" spans="1:7" ht="9.75" customHeight="1">
      <c r="A37" s="308" t="s">
        <v>0</v>
      </c>
      <c r="B37" s="305" t="s">
        <v>0</v>
      </c>
      <c r="C37" s="305"/>
      <c r="D37" s="306" t="s">
        <v>0</v>
      </c>
      <c r="E37" s="307"/>
      <c r="F37" s="289"/>
      <c r="G37" s="289"/>
    </row>
    <row r="38" spans="1:7" ht="13.5">
      <c r="A38" s="322" t="s">
        <v>233</v>
      </c>
      <c r="B38" s="323">
        <f>SUM(B20:B22)</f>
        <v>-2108184354.3500004</v>
      </c>
      <c r="C38" s="311"/>
      <c r="D38" s="324">
        <f>SUM(D20:D22)</f>
        <v>-496024771</v>
      </c>
      <c r="E38" s="311"/>
      <c r="F38" s="289"/>
      <c r="G38" s="289"/>
    </row>
    <row r="39" spans="1:7" ht="13.5">
      <c r="A39" s="300" t="s">
        <v>234</v>
      </c>
      <c r="B39" s="305"/>
      <c r="C39" s="305"/>
      <c r="D39" s="306"/>
      <c r="E39" s="307"/>
      <c r="F39" s="289"/>
      <c r="G39" s="289"/>
    </row>
    <row r="40" spans="1:7" ht="9.75" customHeight="1">
      <c r="A40" s="308"/>
      <c r="B40" s="305"/>
      <c r="C40" s="305"/>
      <c r="D40" s="306"/>
      <c r="E40" s="307"/>
      <c r="F40" s="289"/>
      <c r="G40" s="289"/>
    </row>
    <row r="41" spans="1:7" ht="13.5">
      <c r="A41" s="296" t="s">
        <v>235</v>
      </c>
      <c r="B41" s="305"/>
      <c r="C41" s="305"/>
      <c r="D41" s="306"/>
      <c r="E41" s="307"/>
      <c r="F41" s="289"/>
      <c r="G41" s="289"/>
    </row>
    <row r="42" spans="1:7" ht="13.5">
      <c r="A42" s="308" t="s">
        <v>770</v>
      </c>
      <c r="B42" s="305">
        <v>0</v>
      </c>
      <c r="C42" s="305"/>
      <c r="D42" s="306">
        <v>0</v>
      </c>
      <c r="E42" s="307"/>
      <c r="F42" s="289"/>
      <c r="G42" s="289"/>
    </row>
    <row r="43" spans="1:7" ht="13.5">
      <c r="A43" s="308" t="s">
        <v>771</v>
      </c>
      <c r="B43" s="13">
        <f>+'Anexo Flujo Efectivo'!L15</f>
        <v>2232440</v>
      </c>
      <c r="C43" s="305"/>
      <c r="D43" s="306">
        <v>-8705963</v>
      </c>
      <c r="E43" s="307"/>
      <c r="F43" s="289"/>
      <c r="G43" s="289"/>
    </row>
    <row r="44" spans="1:7" ht="9.75" customHeight="1">
      <c r="A44" s="308" t="s">
        <v>0</v>
      </c>
      <c r="B44" s="305" t="s">
        <v>0</v>
      </c>
      <c r="C44" s="305"/>
      <c r="D44" s="306" t="s">
        <v>0</v>
      </c>
      <c r="E44" s="307"/>
      <c r="F44" s="289"/>
      <c r="G44" s="289"/>
    </row>
    <row r="45" spans="1:7" ht="13.5">
      <c r="A45" s="322" t="s">
        <v>233</v>
      </c>
      <c r="B45" s="325">
        <f>SUM(B42:B44)</f>
        <v>2232440</v>
      </c>
      <c r="C45" s="301"/>
      <c r="D45" s="326">
        <f>SUM(D42:D44)</f>
        <v>-8705963</v>
      </c>
      <c r="E45" s="311"/>
      <c r="F45" s="289"/>
      <c r="G45" s="289"/>
    </row>
    <row r="46" spans="1:7" ht="13.5">
      <c r="A46" s="300" t="s">
        <v>236</v>
      </c>
      <c r="B46" s="305"/>
      <c r="C46" s="305"/>
      <c r="D46" s="306"/>
      <c r="E46" s="307"/>
      <c r="F46" s="289"/>
      <c r="G46" s="289"/>
    </row>
    <row r="47" spans="1:7" ht="9.75" customHeight="1">
      <c r="A47" s="308"/>
      <c r="B47" s="305"/>
      <c r="C47" s="305"/>
      <c r="D47" s="306"/>
      <c r="E47" s="307"/>
      <c r="F47" s="289"/>
      <c r="G47" s="289"/>
    </row>
    <row r="48" spans="1:7" ht="13.5">
      <c r="A48" s="296" t="s">
        <v>237</v>
      </c>
      <c r="B48" s="305"/>
      <c r="C48" s="305"/>
      <c r="D48" s="306"/>
      <c r="E48" s="307"/>
      <c r="F48" s="289"/>
      <c r="G48" s="289"/>
    </row>
    <row r="49" spans="1:7" ht="13.5">
      <c r="A49" s="308" t="s">
        <v>238</v>
      </c>
      <c r="B49" s="305">
        <v>0</v>
      </c>
      <c r="C49" s="314"/>
      <c r="D49" s="315">
        <v>0</v>
      </c>
      <c r="E49" s="307"/>
      <c r="F49" s="289"/>
      <c r="G49" s="289"/>
    </row>
    <row r="50" spans="1:7" ht="13.5">
      <c r="A50" s="308" t="s">
        <v>772</v>
      </c>
      <c r="B50" s="305">
        <f>+'Anexo Flujo Efectivo'!K29</f>
        <v>511222260.1499996</v>
      </c>
      <c r="C50" s="305"/>
      <c r="D50" s="306">
        <v>381278530</v>
      </c>
      <c r="E50" s="307"/>
      <c r="F50" s="289"/>
      <c r="G50" s="289"/>
    </row>
    <row r="51" spans="1:7" ht="13.5">
      <c r="A51" s="308" t="s">
        <v>773</v>
      </c>
      <c r="B51" s="305">
        <v>0</v>
      </c>
      <c r="C51" s="305"/>
      <c r="D51" s="306">
        <v>0</v>
      </c>
      <c r="E51" s="307"/>
      <c r="F51" s="289"/>
      <c r="G51" s="289"/>
    </row>
    <row r="52" spans="1:7" ht="13.5">
      <c r="A52" s="327" t="s">
        <v>239</v>
      </c>
      <c r="B52" s="305">
        <v>0</v>
      </c>
      <c r="C52" s="305"/>
      <c r="D52" s="306">
        <v>0</v>
      </c>
      <c r="E52" s="307"/>
      <c r="F52" s="289"/>
      <c r="G52" s="289"/>
    </row>
    <row r="53" spans="1:7" ht="9.75" customHeight="1">
      <c r="A53" s="327" t="s">
        <v>0</v>
      </c>
      <c r="B53" s="305" t="s">
        <v>0</v>
      </c>
      <c r="C53" s="305"/>
      <c r="D53" s="306" t="s">
        <v>0</v>
      </c>
      <c r="E53" s="307"/>
      <c r="F53" s="289"/>
      <c r="G53" s="289"/>
    </row>
    <row r="54" spans="1:7" ht="13.5">
      <c r="A54" s="322" t="s">
        <v>233</v>
      </c>
      <c r="B54" s="325" t="s">
        <v>0</v>
      </c>
      <c r="C54" s="301"/>
      <c r="D54" s="326" t="s">
        <v>0</v>
      </c>
      <c r="F54" s="289"/>
      <c r="G54" s="289"/>
    </row>
    <row r="55" spans="1:7" ht="13.5">
      <c r="A55" s="300" t="s">
        <v>240</v>
      </c>
      <c r="B55" s="325">
        <f>SUM(B49:B54)</f>
        <v>511222260.1499996</v>
      </c>
      <c r="C55" s="301"/>
      <c r="D55" s="326">
        <f>SUM(D49:D54)</f>
        <v>381278530</v>
      </c>
      <c r="E55" s="311"/>
      <c r="F55" s="289"/>
      <c r="G55" s="289"/>
    </row>
    <row r="56" spans="1:7" ht="9.75" customHeight="1">
      <c r="A56" s="300"/>
      <c r="B56" s="301"/>
      <c r="C56" s="301"/>
      <c r="D56" s="302"/>
      <c r="E56" s="301"/>
      <c r="F56" s="289"/>
      <c r="G56" s="289"/>
    </row>
    <row r="57" spans="1:7" ht="13.5">
      <c r="A57" s="308" t="s">
        <v>774</v>
      </c>
      <c r="B57" s="314">
        <f>+'Anexo Flujo Efectivo'!K8</f>
        <v>182400931.91</v>
      </c>
      <c r="C57" s="314"/>
      <c r="D57" s="315">
        <v>-123452205</v>
      </c>
      <c r="E57" s="311"/>
      <c r="F57" s="289"/>
      <c r="G57" s="313"/>
    </row>
    <row r="58" spans="1:7" ht="13.5">
      <c r="A58" s="308" t="s">
        <v>704</v>
      </c>
      <c r="B58" s="305"/>
      <c r="C58" s="305"/>
      <c r="D58" s="306"/>
      <c r="E58" s="307"/>
      <c r="F58" s="289"/>
      <c r="G58" s="289"/>
    </row>
    <row r="59" spans="1:7" ht="25.5">
      <c r="A59" s="308" t="s">
        <v>241</v>
      </c>
      <c r="B59" s="536">
        <f>SUM(D61)</f>
        <v>170148918</v>
      </c>
      <c r="C59" s="305"/>
      <c r="D59" s="537">
        <v>293601123</v>
      </c>
      <c r="E59" s="307"/>
      <c r="F59" s="289"/>
      <c r="G59" s="289"/>
    </row>
    <row r="60" spans="1:7" ht="9.75" customHeight="1">
      <c r="A60" s="308"/>
      <c r="B60" s="305"/>
      <c r="C60" s="305"/>
      <c r="D60" s="306"/>
      <c r="E60" s="307"/>
      <c r="F60" s="289"/>
      <c r="G60" s="289"/>
    </row>
    <row r="61" spans="1:8" ht="14.25" thickBot="1">
      <c r="A61" s="300" t="s">
        <v>242</v>
      </c>
      <c r="B61" s="328">
        <f>+B57+B59-1</f>
        <v>352549848.90999997</v>
      </c>
      <c r="C61" s="301"/>
      <c r="D61" s="329">
        <f>+D57+D59</f>
        <v>170148918</v>
      </c>
      <c r="E61" s="301"/>
      <c r="F61" s="289"/>
      <c r="G61" s="289"/>
      <c r="H61" s="345"/>
    </row>
    <row r="62" spans="1:8" ht="12.75" customHeight="1" thickTop="1">
      <c r="A62" s="330"/>
      <c r="B62" s="305" t="s">
        <v>0</v>
      </c>
      <c r="C62" s="305"/>
      <c r="D62" s="306"/>
      <c r="E62" s="307"/>
      <c r="F62" s="289"/>
      <c r="G62" s="289"/>
      <c r="H62" s="346"/>
    </row>
    <row r="63" spans="1:4" ht="9.75" customHeight="1">
      <c r="A63" s="118"/>
      <c r="B63" s="190"/>
      <c r="C63" s="119"/>
      <c r="D63" s="120"/>
    </row>
    <row r="64" spans="1:8" ht="12.75">
      <c r="A64" s="36" t="s">
        <v>651</v>
      </c>
      <c r="B64" s="6"/>
      <c r="C64" s="6"/>
      <c r="D64" s="37"/>
      <c r="E64" s="13"/>
      <c r="H64" s="346"/>
    </row>
    <row r="65" spans="1:5" ht="12.75">
      <c r="A65" s="36"/>
      <c r="B65" s="6"/>
      <c r="C65" s="6"/>
      <c r="D65" s="37"/>
      <c r="E65" s="13"/>
    </row>
    <row r="66" spans="1:5" ht="12.75">
      <c r="A66" s="236" t="s">
        <v>853</v>
      </c>
      <c r="B66" s="237" t="s">
        <v>859</v>
      </c>
      <c r="D66" s="37"/>
      <c r="E66" s="13"/>
    </row>
    <row r="67" spans="1:5" ht="12.75">
      <c r="A67" s="405"/>
      <c r="B67" s="237"/>
      <c r="C67" s="331"/>
      <c r="D67" s="332"/>
      <c r="E67" s="13"/>
    </row>
    <row r="68" spans="1:5" ht="12.75">
      <c r="A68" s="36" t="s">
        <v>839</v>
      </c>
      <c r="B68" s="488" t="s">
        <v>775</v>
      </c>
      <c r="C68" s="488"/>
      <c r="D68" s="489"/>
      <c r="E68" s="13"/>
    </row>
    <row r="69" spans="1:5" ht="12.75">
      <c r="A69" s="36" t="s">
        <v>82</v>
      </c>
      <c r="B69" s="44" t="s">
        <v>243</v>
      </c>
      <c r="C69" s="458"/>
      <c r="D69" s="459"/>
      <c r="E69" s="13"/>
    </row>
    <row r="70" spans="1:5" ht="12.75">
      <c r="A70" s="541" t="s">
        <v>857</v>
      </c>
      <c r="B70" s="44" t="s">
        <v>840</v>
      </c>
      <c r="C70" s="44"/>
      <c r="D70" s="459"/>
      <c r="E70" s="13"/>
    </row>
    <row r="71" spans="1:5" ht="12.75">
      <c r="A71" s="405"/>
      <c r="B71" s="460" t="s">
        <v>844</v>
      </c>
      <c r="D71" s="332"/>
      <c r="E71" s="14"/>
    </row>
    <row r="72" spans="1:5" ht="12.75">
      <c r="A72" s="405"/>
      <c r="B72" s="460"/>
      <c r="D72" s="332"/>
      <c r="E72" s="14"/>
    </row>
    <row r="73" spans="1:5" ht="12.75">
      <c r="A73" s="236" t="s">
        <v>858</v>
      </c>
      <c r="B73" s="460"/>
      <c r="D73" s="332"/>
      <c r="E73" s="14"/>
    </row>
    <row r="74" spans="1:5" ht="12.75">
      <c r="A74" s="405"/>
      <c r="B74" s="460"/>
      <c r="D74" s="332"/>
      <c r="E74" s="14"/>
    </row>
    <row r="75" spans="1:5" ht="12.75">
      <c r="A75" s="487" t="s">
        <v>841</v>
      </c>
      <c r="B75" s="468"/>
      <c r="C75" s="14"/>
      <c r="D75" s="333"/>
      <c r="E75" s="16"/>
    </row>
    <row r="76" spans="1:5" ht="12.75">
      <c r="A76" s="36" t="s">
        <v>842</v>
      </c>
      <c r="B76" s="14"/>
      <c r="C76" s="14"/>
      <c r="D76" s="333"/>
      <c r="E76" s="16"/>
    </row>
    <row r="77" spans="1:4" ht="12.75">
      <c r="A77" s="36" t="s">
        <v>843</v>
      </c>
      <c r="B77" s="2"/>
      <c r="C77" s="2"/>
      <c r="D77" s="333"/>
    </row>
    <row r="78" spans="1:4" ht="13.5" thickBot="1">
      <c r="A78" s="334" t="s">
        <v>778</v>
      </c>
      <c r="B78" s="66"/>
      <c r="C78" s="66"/>
      <c r="D78" s="335"/>
    </row>
    <row r="79" ht="13.5" thickTop="1"/>
  </sheetData>
  <sheetProtection/>
  <mergeCells count="6">
    <mergeCell ref="A2:D2"/>
    <mergeCell ref="A3:D3"/>
    <mergeCell ref="A5:D5"/>
    <mergeCell ref="A4:D4"/>
    <mergeCell ref="A75:B75"/>
    <mergeCell ref="B68:D6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C1">
      <selection activeCell="K8" sqref="K8"/>
    </sheetView>
  </sheetViews>
  <sheetFormatPr defaultColWidth="11.421875" defaultRowHeight="12.75"/>
  <cols>
    <col min="1" max="1" width="33.421875" style="0" bestFit="1" customWidth="1"/>
    <col min="2" max="3" width="19.7109375" style="0" customWidth="1"/>
    <col min="4" max="5" width="12.7109375" style="0" customWidth="1"/>
    <col min="6" max="6" width="16.421875" style="0" customWidth="1"/>
    <col min="7" max="7" width="17.421875" style="0" customWidth="1"/>
    <col min="8" max="8" width="18.00390625" style="0" customWidth="1"/>
    <col min="9" max="9" width="18.7109375" style="0" bestFit="1" customWidth="1"/>
    <col min="10" max="10" width="16.8515625" style="0" bestFit="1" customWidth="1"/>
    <col min="11" max="12" width="18.7109375" style="0" bestFit="1" customWidth="1"/>
  </cols>
  <sheetData>
    <row r="1" spans="1:12" ht="15">
      <c r="A1" s="490" t="s">
        <v>19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2.75">
      <c r="A2" s="491" t="s">
        <v>658</v>
      </c>
      <c r="B2" s="491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12.75">
      <c r="A3" s="493" t="s">
        <v>659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5">
      <c r="A4" s="358"/>
      <c r="B4" s="377"/>
      <c r="C4" s="358"/>
      <c r="D4" s="358"/>
      <c r="E4" s="358"/>
      <c r="F4" s="358"/>
      <c r="G4" s="358"/>
      <c r="H4" s="377"/>
      <c r="I4" s="394" t="s">
        <v>660</v>
      </c>
      <c r="J4" s="394" t="s">
        <v>661</v>
      </c>
      <c r="K4" s="357" t="s">
        <v>660</v>
      </c>
      <c r="L4" s="357" t="s">
        <v>661</v>
      </c>
    </row>
    <row r="5" spans="1:12" ht="15">
      <c r="A5" s="358"/>
      <c r="B5" s="358"/>
      <c r="C5" s="358"/>
      <c r="D5" s="358"/>
      <c r="E5" s="358"/>
      <c r="F5" s="358"/>
      <c r="G5" s="358"/>
      <c r="H5" s="400"/>
      <c r="I5" s="394" t="s">
        <v>662</v>
      </c>
      <c r="J5" s="394" t="s">
        <v>663</v>
      </c>
      <c r="K5" s="357" t="s">
        <v>662</v>
      </c>
      <c r="L5" s="357" t="s">
        <v>663</v>
      </c>
    </row>
    <row r="6" spans="1:12" ht="12.75">
      <c r="A6" s="359"/>
      <c r="B6" s="360">
        <v>2022</v>
      </c>
      <c r="C6" s="360">
        <v>2021</v>
      </c>
      <c r="D6" s="494" t="s">
        <v>664</v>
      </c>
      <c r="E6" s="495"/>
      <c r="F6" s="360" t="s">
        <v>756</v>
      </c>
      <c r="G6" s="360" t="s">
        <v>665</v>
      </c>
      <c r="H6" s="360" t="s">
        <v>698</v>
      </c>
      <c r="I6" s="395" t="s">
        <v>666</v>
      </c>
      <c r="J6" s="395" t="s">
        <v>667</v>
      </c>
      <c r="K6" s="360" t="s">
        <v>666</v>
      </c>
      <c r="L6" s="360" t="s">
        <v>667</v>
      </c>
    </row>
    <row r="7" spans="1:12" ht="12.75">
      <c r="A7" s="359"/>
      <c r="B7" s="359"/>
      <c r="C7" s="359"/>
      <c r="D7" s="360" t="s">
        <v>668</v>
      </c>
      <c r="E7" s="360" t="s">
        <v>669</v>
      </c>
      <c r="F7" s="359"/>
      <c r="G7" s="359"/>
      <c r="H7" s="359"/>
      <c r="I7" s="359"/>
      <c r="J7" s="359"/>
      <c r="K7" s="359"/>
      <c r="L7" s="359"/>
    </row>
    <row r="8" spans="1:12" ht="12.75">
      <c r="A8" s="22" t="s">
        <v>695</v>
      </c>
      <c r="B8" s="383">
        <f>+'BCE DIC 2022'!F9+'BCE DIC 2022'!F4</f>
        <v>352549848.58</v>
      </c>
      <c r="C8" s="383">
        <f>+'BCE DIC 2021'!F9</f>
        <v>170148916.67</v>
      </c>
      <c r="D8" s="383">
        <v>0</v>
      </c>
      <c r="E8" s="383">
        <v>0</v>
      </c>
      <c r="F8" s="383">
        <f>+B8+D8-E8</f>
        <v>352549848.58</v>
      </c>
      <c r="G8" s="383">
        <f>+F8-C8</f>
        <v>182400931.91</v>
      </c>
      <c r="H8" s="381">
        <f>+B8-C8</f>
        <v>182400931.91</v>
      </c>
      <c r="I8" s="381">
        <f>+H8</f>
        <v>182400931.91</v>
      </c>
      <c r="J8" s="381"/>
      <c r="K8" s="361">
        <f>+I8</f>
        <v>182400931.91</v>
      </c>
      <c r="L8" s="361">
        <v>0</v>
      </c>
    </row>
    <row r="9" spans="1:12" ht="12.75">
      <c r="A9" s="22" t="s">
        <v>17</v>
      </c>
      <c r="B9" s="391">
        <f>+'BCE DIC 2022'!F14+'BCE DIC 2022'!F27</f>
        <v>1272974905</v>
      </c>
      <c r="C9" s="383">
        <f>+'BCE DIC 2021'!F14+'BCE DIC 2021'!F38</f>
        <v>2225993475</v>
      </c>
      <c r="D9" s="383">
        <v>0</v>
      </c>
      <c r="E9" s="383">
        <v>0</v>
      </c>
      <c r="F9" s="383">
        <f>+B9+D9-E9</f>
        <v>1272974905</v>
      </c>
      <c r="G9" s="383">
        <f>+F9-C9</f>
        <v>-953018570</v>
      </c>
      <c r="H9" s="381">
        <f aca="true" t="shared" si="0" ref="H9:H18">+B9-C9</f>
        <v>-953018570</v>
      </c>
      <c r="I9" s="381"/>
      <c r="J9" s="381">
        <f>+H9</f>
        <v>-953018570</v>
      </c>
      <c r="K9" s="361"/>
      <c r="L9" s="361">
        <f>SUM(G9)</f>
        <v>-953018570</v>
      </c>
    </row>
    <row r="10" spans="1:12" ht="12.75">
      <c r="A10" s="22" t="s">
        <v>201</v>
      </c>
      <c r="B10" s="383">
        <f>+'BCE DIC 2022'!F33+'BCE DIC 2022'!F36+'BCE DIC 2022'!F41+'BCE DIC 2022'!F48+'BCE DIC 2022'!F77+'BCE DIC 2022'!F103</f>
        <v>6372947701.440001</v>
      </c>
      <c r="C10" s="383">
        <f>+'BCE DIC 2021'!F44+'BCE DIC 2021'!F49+'BCE DIC 2021'!F54+'BCE DIC 2021'!F59+'BCE DIC 2021'!F88+'BCE DIC 2021'!F114</f>
        <v>4962521070.13</v>
      </c>
      <c r="D10" s="383">
        <v>0</v>
      </c>
      <c r="E10" s="383">
        <v>0</v>
      </c>
      <c r="F10" s="383">
        <f>+B10+D10-E10</f>
        <v>6372947701.440001</v>
      </c>
      <c r="G10" s="383">
        <f aca="true" t="shared" si="1" ref="G10:G51">+F10-C10</f>
        <v>1410426631.3100004</v>
      </c>
      <c r="H10" s="397">
        <f t="shared" si="0"/>
        <v>1410426631.3100004</v>
      </c>
      <c r="I10" s="381">
        <f>-H10</f>
        <v>-1410426631.3100004</v>
      </c>
      <c r="J10" s="381"/>
      <c r="K10" s="361">
        <v>0</v>
      </c>
      <c r="L10" s="361">
        <f>SUM(G10)</f>
        <v>1410426631.3100004</v>
      </c>
    </row>
    <row r="11" spans="1:12" ht="12.75">
      <c r="A11" s="22" t="s">
        <v>696</v>
      </c>
      <c r="B11" s="392">
        <f>+'Estado de Situación Financiera'!D16</f>
        <v>79561447</v>
      </c>
      <c r="C11" s="383">
        <f>+'Estado de Situación Financiera'!F16</f>
        <v>87501306</v>
      </c>
      <c r="D11" s="383">
        <v>0</v>
      </c>
      <c r="E11" s="383">
        <v>0</v>
      </c>
      <c r="F11" s="383">
        <f aca="true" t="shared" si="2" ref="F11:F36">+B11+D11-E11</f>
        <v>79561447</v>
      </c>
      <c r="G11" s="383">
        <f t="shared" si="1"/>
        <v>-7939859</v>
      </c>
      <c r="H11" s="381">
        <f t="shared" si="0"/>
        <v>-7939859</v>
      </c>
      <c r="I11" s="381"/>
      <c r="J11" s="381">
        <f>+H11</f>
        <v>-7939859</v>
      </c>
      <c r="K11" s="361">
        <v>0</v>
      </c>
      <c r="L11" s="361">
        <f>SUM(G11)</f>
        <v>-7939859</v>
      </c>
    </row>
    <row r="12" spans="1:12" ht="12.75">
      <c r="A12" s="22" t="s">
        <v>670</v>
      </c>
      <c r="B12" s="383">
        <f>+'BCE DIC 2022'!F80+'BCE DIC 2022'!F89+'BCE DIC 2022'!F98+'BCE DIC 2022'!F101</f>
        <v>-223155139.60999998</v>
      </c>
      <c r="C12" s="383">
        <f>+'BCE DIC 2021'!F91+'BCE DIC 2021'!F100+'BCE DIC 2021'!F109+'BCE DIC 2021'!F112</f>
        <v>-210045286.99999997</v>
      </c>
      <c r="D12" s="383">
        <v>0</v>
      </c>
      <c r="E12" s="383">
        <v>0</v>
      </c>
      <c r="F12" s="383">
        <f t="shared" si="2"/>
        <v>-223155139.60999998</v>
      </c>
      <c r="G12" s="383">
        <f>+F12-C12</f>
        <v>-13109852.610000014</v>
      </c>
      <c r="H12" s="381">
        <f t="shared" si="0"/>
        <v>-13109852.610000014</v>
      </c>
      <c r="I12" s="381"/>
      <c r="J12" s="381"/>
      <c r="K12" s="361">
        <f>SUM(G12*-1)</f>
        <v>13109852.610000014</v>
      </c>
      <c r="L12" s="361">
        <v>0</v>
      </c>
    </row>
    <row r="13" spans="1:12" ht="12.75">
      <c r="A13" s="22" t="s">
        <v>671</v>
      </c>
      <c r="B13" s="383">
        <f>+'BCE DIC 2022'!F115</f>
        <v>0</v>
      </c>
      <c r="C13" s="383">
        <f>+'BCE DIC 2021'!F130</f>
        <v>1292192</v>
      </c>
      <c r="D13" s="383">
        <v>0</v>
      </c>
      <c r="E13" s="383">
        <v>0</v>
      </c>
      <c r="F13" s="383">
        <f t="shared" si="2"/>
        <v>0</v>
      </c>
      <c r="G13" s="383">
        <f t="shared" si="1"/>
        <v>-1292192</v>
      </c>
      <c r="H13" s="381">
        <f t="shared" si="0"/>
        <v>-1292192</v>
      </c>
      <c r="I13" s="381"/>
      <c r="J13" s="381">
        <f>+H13</f>
        <v>-1292192</v>
      </c>
      <c r="K13" s="361">
        <f>SUM(G13*-1)</f>
        <v>1292192</v>
      </c>
      <c r="L13" s="361">
        <v>0</v>
      </c>
    </row>
    <row r="14" spans="1:12" ht="12.75">
      <c r="A14" s="22" t="s">
        <v>672</v>
      </c>
      <c r="B14" s="383">
        <f>+'BCE DIC 2022'!F111-'BCE DIC 2022'!F115</f>
        <v>0</v>
      </c>
      <c r="C14" s="383">
        <f>+'BCE DIC 2021'!F121-'BCE DIC 2021'!F130</f>
        <v>15368734.47</v>
      </c>
      <c r="D14" s="383">
        <v>0</v>
      </c>
      <c r="E14" s="383">
        <v>0</v>
      </c>
      <c r="F14" s="383">
        <f t="shared" si="2"/>
        <v>0</v>
      </c>
      <c r="G14" s="383">
        <f t="shared" si="1"/>
        <v>-15368734.47</v>
      </c>
      <c r="H14" s="381">
        <f t="shared" si="0"/>
        <v>-15368734.47</v>
      </c>
      <c r="I14" s="381"/>
      <c r="J14" s="381">
        <f>+H14</f>
        <v>-15368734.47</v>
      </c>
      <c r="K14" s="361">
        <f>SUM(G14)*-1</f>
        <v>15368734.47</v>
      </c>
      <c r="L14" s="361">
        <v>0</v>
      </c>
    </row>
    <row r="15" spans="1:12" ht="12.75">
      <c r="A15" s="22" t="s">
        <v>15</v>
      </c>
      <c r="B15" s="383">
        <f>+'BCE DIC 2022'!F124+'BCE DIC 2022'!F125+'BCE DIC 2022'!F127+'BCE DIC 2022'!F130</f>
        <v>771670471</v>
      </c>
      <c r="C15" s="383">
        <f>+'BCE DIC 2021'!F142+'BCE DIC 2021'!F143+'BCE DIC 2021'!F145+'BCE DIC 2021'!F148</f>
        <v>769438031</v>
      </c>
      <c r="D15" s="383">
        <v>0</v>
      </c>
      <c r="E15" s="383">
        <v>0</v>
      </c>
      <c r="F15" s="383">
        <f t="shared" si="2"/>
        <v>771670471</v>
      </c>
      <c r="G15" s="383">
        <f t="shared" si="1"/>
        <v>2232440</v>
      </c>
      <c r="H15" s="381">
        <f t="shared" si="0"/>
        <v>2232440</v>
      </c>
      <c r="I15" s="381"/>
      <c r="J15" s="381">
        <f>+H15</f>
        <v>2232440</v>
      </c>
      <c r="K15" s="361"/>
      <c r="L15" s="361">
        <f>+G15</f>
        <v>2232440</v>
      </c>
    </row>
    <row r="16" spans="1:12" ht="12.75">
      <c r="A16" s="22" t="s">
        <v>673</v>
      </c>
      <c r="B16" s="383">
        <f>+'BCE DIC 2022'!F133</f>
        <v>-232285235.59</v>
      </c>
      <c r="C16" s="383">
        <f>+'BCE DIC 2021'!F152+'BCE DIC 2021'!F157</f>
        <v>-290394885.90999997</v>
      </c>
      <c r="D16" s="383">
        <v>0</v>
      </c>
      <c r="E16" s="383">
        <v>0</v>
      </c>
      <c r="F16" s="383">
        <f t="shared" si="2"/>
        <v>-232285235.59</v>
      </c>
      <c r="G16" s="383">
        <f t="shared" si="1"/>
        <v>58109650.31999996</v>
      </c>
      <c r="H16" s="381">
        <f t="shared" si="0"/>
        <v>58109650.31999996</v>
      </c>
      <c r="I16" s="381"/>
      <c r="J16" s="381"/>
      <c r="K16" s="361">
        <v>0</v>
      </c>
      <c r="L16" s="361">
        <v>0</v>
      </c>
    </row>
    <row r="17" spans="1:12" ht="12.75">
      <c r="A17" s="22" t="s">
        <v>697</v>
      </c>
      <c r="B17" s="383">
        <f>+'BCE DIC 2022'!H132</f>
        <v>0</v>
      </c>
      <c r="C17" s="383">
        <f>+'BCE DIC 2021'!F150</f>
        <v>136261122</v>
      </c>
      <c r="D17" s="383">
        <v>0</v>
      </c>
      <c r="E17" s="383">
        <v>0</v>
      </c>
      <c r="F17" s="383">
        <f>SUM(B17+D17-E17)</f>
        <v>0</v>
      </c>
      <c r="G17" s="383">
        <f t="shared" si="1"/>
        <v>-136261122</v>
      </c>
      <c r="H17" s="381">
        <f t="shared" si="0"/>
        <v>-136261122</v>
      </c>
      <c r="I17" s="381"/>
      <c r="J17" s="381"/>
      <c r="K17" s="361">
        <v>5487172</v>
      </c>
      <c r="L17" s="361">
        <v>0</v>
      </c>
    </row>
    <row r="18" spans="1:12" ht="12.75">
      <c r="A18" s="374" t="s">
        <v>99</v>
      </c>
      <c r="B18" s="376">
        <f>SUM(B8:B17)</f>
        <v>8394263997.82</v>
      </c>
      <c r="C18" s="376">
        <f>SUM(C8:C17)</f>
        <v>7868084674.360001</v>
      </c>
      <c r="D18" s="376">
        <v>0</v>
      </c>
      <c r="E18" s="376">
        <v>0</v>
      </c>
      <c r="F18" s="376">
        <f>SUM(B18+D18-E18)</f>
        <v>8394263997.82</v>
      </c>
      <c r="G18" s="376">
        <f t="shared" si="1"/>
        <v>526179323.4599991</v>
      </c>
      <c r="H18" s="396">
        <f t="shared" si="0"/>
        <v>526179323.4599991</v>
      </c>
      <c r="I18" s="375"/>
      <c r="J18" s="375"/>
      <c r="K18" s="375"/>
      <c r="L18" s="375"/>
    </row>
    <row r="19" spans="1:12" ht="13.5" thickBot="1">
      <c r="A19" s="372"/>
      <c r="B19" s="384">
        <f>8394263998-B18</f>
        <v>0.18000030517578125</v>
      </c>
      <c r="C19" s="384"/>
      <c r="D19" s="384">
        <v>0</v>
      </c>
      <c r="E19" s="384">
        <v>0</v>
      </c>
      <c r="F19" s="384"/>
      <c r="G19" s="384"/>
      <c r="H19" s="373"/>
      <c r="I19" s="373"/>
      <c r="J19" s="373"/>
      <c r="K19" s="373"/>
      <c r="L19" s="373"/>
    </row>
    <row r="20" spans="1:12" ht="12.75">
      <c r="A20" s="363" t="s">
        <v>674</v>
      </c>
      <c r="B20" s="385">
        <v>0</v>
      </c>
      <c r="C20" s="385">
        <v>0</v>
      </c>
      <c r="D20" s="385">
        <v>0</v>
      </c>
      <c r="E20" s="385">
        <v>0</v>
      </c>
      <c r="F20" s="385">
        <f t="shared" si="2"/>
        <v>0</v>
      </c>
      <c r="G20" s="385">
        <f t="shared" si="1"/>
        <v>0</v>
      </c>
      <c r="H20" s="382">
        <f>+B20-C20</f>
        <v>0</v>
      </c>
      <c r="I20" s="382">
        <f>+H20</f>
        <v>0</v>
      </c>
      <c r="J20" s="382"/>
      <c r="K20" s="363">
        <v>0</v>
      </c>
      <c r="L20" s="363">
        <v>1340119</v>
      </c>
    </row>
    <row r="21" spans="1:12" ht="12.75" hidden="1">
      <c r="A21" s="359" t="s">
        <v>133</v>
      </c>
      <c r="B21" s="386">
        <v>0</v>
      </c>
      <c r="C21" s="386">
        <v>0</v>
      </c>
      <c r="D21" s="386">
        <v>0</v>
      </c>
      <c r="E21" s="386">
        <v>0</v>
      </c>
      <c r="F21" s="386">
        <f t="shared" si="2"/>
        <v>0</v>
      </c>
      <c r="G21" s="383">
        <f t="shared" si="1"/>
        <v>0</v>
      </c>
      <c r="H21" s="382">
        <f aca="true" t="shared" si="3" ref="H21:H27">+B21-C21</f>
        <v>0</v>
      </c>
      <c r="I21" s="393"/>
      <c r="J21" s="393"/>
      <c r="K21" s="364">
        <v>0</v>
      </c>
      <c r="L21" s="364">
        <f>SUM(G21*-1)</f>
        <v>0</v>
      </c>
    </row>
    <row r="22" spans="1:12" ht="12.75">
      <c r="A22" s="359" t="s">
        <v>675</v>
      </c>
      <c r="B22" s="383">
        <f>+'BCE DIC 2022'!F149+'BCE DIC 2022'!F160</f>
        <v>17333132.49</v>
      </c>
      <c r="C22" s="383">
        <f>+'BCE DIC 2021'!F164+'BCE DIC 2021'!F176</f>
        <v>13324528</v>
      </c>
      <c r="D22" s="383">
        <v>0</v>
      </c>
      <c r="E22" s="383">
        <v>0</v>
      </c>
      <c r="F22" s="383">
        <f t="shared" si="2"/>
        <v>17333132.49</v>
      </c>
      <c r="G22" s="383">
        <f t="shared" si="1"/>
        <v>4008604.4899999984</v>
      </c>
      <c r="H22" s="381">
        <f t="shared" si="3"/>
        <v>4008604.4899999984</v>
      </c>
      <c r="I22" s="381"/>
      <c r="J22" s="381">
        <f>-H22</f>
        <v>-4008604.4899999984</v>
      </c>
      <c r="K22" s="361">
        <f>SUM(G22)</f>
        <v>4008604.4899999984</v>
      </c>
      <c r="L22" s="361">
        <v>0</v>
      </c>
    </row>
    <row r="23" spans="1:12" ht="12.75">
      <c r="A23" s="359" t="s">
        <v>54</v>
      </c>
      <c r="B23" s="383">
        <f>+'BCE DIC 2022'!F177</f>
        <v>22894314.75</v>
      </c>
      <c r="C23" s="383">
        <f>+'BCE DIC 2021'!F192</f>
        <v>73206574.83</v>
      </c>
      <c r="D23" s="383">
        <v>0</v>
      </c>
      <c r="E23" s="383">
        <v>0</v>
      </c>
      <c r="F23" s="383">
        <f t="shared" si="2"/>
        <v>22894314.75</v>
      </c>
      <c r="G23" s="383">
        <f t="shared" si="1"/>
        <v>-50312260.08</v>
      </c>
      <c r="H23" s="381">
        <f t="shared" si="3"/>
        <v>-50312260.08</v>
      </c>
      <c r="I23" s="381">
        <f>+H23</f>
        <v>-50312260.08</v>
      </c>
      <c r="J23" s="381"/>
      <c r="K23" s="361">
        <v>12759730</v>
      </c>
      <c r="L23" s="361">
        <v>0</v>
      </c>
    </row>
    <row r="24" spans="1:12" ht="12.75">
      <c r="A24" s="359" t="s">
        <v>676</v>
      </c>
      <c r="B24" s="383">
        <f>+'BCE DIC 2022'!H140+'BCE DIC 2022'!F146+'BCE DIC 2022'!F164</f>
        <v>13498434</v>
      </c>
      <c r="C24" s="383">
        <f>+'BCE DIC 2021'!F180+'BCE DIC 2021'!F161</f>
        <v>16095863</v>
      </c>
      <c r="D24" s="383">
        <v>0</v>
      </c>
      <c r="E24" s="383">
        <v>0</v>
      </c>
      <c r="F24" s="383">
        <f t="shared" si="2"/>
        <v>13498434</v>
      </c>
      <c r="G24" s="383">
        <f t="shared" si="1"/>
        <v>-2597429</v>
      </c>
      <c r="H24" s="381">
        <f t="shared" si="3"/>
        <v>-2597429</v>
      </c>
      <c r="I24" s="381">
        <f>+H24</f>
        <v>-2597429</v>
      </c>
      <c r="J24" s="381"/>
      <c r="K24" s="361">
        <v>0</v>
      </c>
      <c r="L24" s="361">
        <f>SUM(G24)*-1</f>
        <v>2597429</v>
      </c>
    </row>
    <row r="25" spans="1:12" ht="12.75">
      <c r="A25" s="359" t="s">
        <v>85</v>
      </c>
      <c r="B25" s="383">
        <f>+'BCE DIC 2022'!F180</f>
        <v>17099250.62</v>
      </c>
      <c r="C25" s="383">
        <f>+'BCE DIC 2021'!F195</f>
        <v>14095953.62</v>
      </c>
      <c r="D25" s="383">
        <v>0</v>
      </c>
      <c r="E25" s="383">
        <v>0</v>
      </c>
      <c r="F25" s="383">
        <f t="shared" si="2"/>
        <v>17099250.62</v>
      </c>
      <c r="G25" s="383">
        <f t="shared" si="1"/>
        <v>3003297.000000002</v>
      </c>
      <c r="H25" s="381">
        <f t="shared" si="3"/>
        <v>3003297.000000002</v>
      </c>
      <c r="I25" s="381">
        <f>+H25</f>
        <v>3003297.000000002</v>
      </c>
      <c r="J25" s="381"/>
      <c r="K25" s="361">
        <v>0</v>
      </c>
      <c r="L25" s="361">
        <f>SUM(G25*-1)</f>
        <v>-3003297.000000002</v>
      </c>
    </row>
    <row r="26" spans="1:12" ht="12.75">
      <c r="A26" s="359" t="s">
        <v>677</v>
      </c>
      <c r="B26" s="383">
        <f>+'BCE DIC 2022'!F187</f>
        <v>70142596.96</v>
      </c>
      <c r="C26" s="383">
        <f>+'BCE DIC 2021'!F202</f>
        <v>103119074.43</v>
      </c>
      <c r="D26" s="383">
        <v>0</v>
      </c>
      <c r="E26" s="383">
        <v>0</v>
      </c>
      <c r="F26" s="383">
        <f t="shared" si="2"/>
        <v>70142596.96</v>
      </c>
      <c r="G26" s="383">
        <f t="shared" si="1"/>
        <v>-32976477.470000014</v>
      </c>
      <c r="H26" s="381">
        <f t="shared" si="3"/>
        <v>-32976477.470000014</v>
      </c>
      <c r="I26" s="381">
        <f>+H26</f>
        <v>-32976477.470000014</v>
      </c>
      <c r="J26" s="381"/>
      <c r="K26" s="361">
        <v>9353189</v>
      </c>
      <c r="L26" s="361">
        <v>0</v>
      </c>
    </row>
    <row r="27" spans="1:12" ht="12.75">
      <c r="A27" s="374" t="s">
        <v>199</v>
      </c>
      <c r="B27" s="379">
        <f>SUM(B20:B26)</f>
        <v>140967728.82</v>
      </c>
      <c r="C27" s="379">
        <f>SUM(C20:C26)</f>
        <v>219841993.88</v>
      </c>
      <c r="D27" s="383">
        <v>0</v>
      </c>
      <c r="E27" s="383">
        <v>0</v>
      </c>
      <c r="F27" s="383">
        <f t="shared" si="2"/>
        <v>140967728.82</v>
      </c>
      <c r="G27" s="383">
        <f t="shared" si="1"/>
        <v>-78874265.06</v>
      </c>
      <c r="H27" s="396">
        <f t="shared" si="3"/>
        <v>-78874265.06</v>
      </c>
      <c r="I27" s="381"/>
      <c r="J27" s="381"/>
      <c r="K27" s="361"/>
      <c r="L27" s="361"/>
    </row>
    <row r="28" spans="1:12" ht="12.75">
      <c r="A28" s="359"/>
      <c r="B28" s="383"/>
      <c r="C28" s="383"/>
      <c r="D28" s="383">
        <v>0</v>
      </c>
      <c r="E28" s="383">
        <v>0</v>
      </c>
      <c r="F28" s="383"/>
      <c r="G28" s="383"/>
      <c r="H28" s="381"/>
      <c r="I28" s="381"/>
      <c r="J28" s="381"/>
      <c r="K28" s="361"/>
      <c r="L28" s="361"/>
    </row>
    <row r="29" spans="1:12" ht="12.75">
      <c r="A29" s="359" t="s">
        <v>66</v>
      </c>
      <c r="B29" s="383">
        <f>+'BCE DIC 2022'!F211</f>
        <v>6823791273.67</v>
      </c>
      <c r="C29" s="383">
        <f>+'BCE DIC 2021'!F227</f>
        <v>6312569013.52</v>
      </c>
      <c r="D29" s="383">
        <v>0</v>
      </c>
      <c r="E29" s="383">
        <v>0</v>
      </c>
      <c r="F29" s="383">
        <f t="shared" si="2"/>
        <v>6823791273.67</v>
      </c>
      <c r="G29" s="383">
        <f>+F29-C29</f>
        <v>511222260.1499996</v>
      </c>
      <c r="H29" s="381">
        <f aca="true" t="shared" si="4" ref="H29:H36">+B29-C29</f>
        <v>511222260.1499996</v>
      </c>
      <c r="I29" s="381">
        <f>+H29</f>
        <v>511222260.1499996</v>
      </c>
      <c r="J29" s="381"/>
      <c r="K29" s="361">
        <f>+G29</f>
        <v>511222260.1499996</v>
      </c>
      <c r="L29" s="361"/>
    </row>
    <row r="30" spans="1:12" ht="12.75">
      <c r="A30" s="359" t="s">
        <v>678</v>
      </c>
      <c r="B30" s="383">
        <f>+'BCE DIC 2022'!F216</f>
        <v>475853580.35</v>
      </c>
      <c r="C30" s="383">
        <f>+'BCE DIC 2021'!F233</f>
        <v>449825177.35</v>
      </c>
      <c r="D30" s="383">
        <v>0</v>
      </c>
      <c r="E30" s="383">
        <v>0</v>
      </c>
      <c r="F30" s="383">
        <f t="shared" si="2"/>
        <v>475853580.35</v>
      </c>
      <c r="G30" s="383">
        <f t="shared" si="1"/>
        <v>26028403</v>
      </c>
      <c r="H30" s="381">
        <f t="shared" si="4"/>
        <v>26028403</v>
      </c>
      <c r="I30" s="381">
        <f>+H30</f>
        <v>26028403</v>
      </c>
      <c r="J30" s="381"/>
      <c r="K30" s="361">
        <f>+G30</f>
        <v>26028403</v>
      </c>
      <c r="L30" s="361"/>
    </row>
    <row r="31" spans="1:12" ht="12.75">
      <c r="A31" s="359" t="s">
        <v>679</v>
      </c>
      <c r="B31" s="383">
        <f>+'BCE DIC 2022'!F219+'BCE DIC 2022'!F223</f>
        <v>34510901.45</v>
      </c>
      <c r="C31" s="383">
        <f>+'BCE DIC 2021'!F235+'BCE DIC 2021'!F239</f>
        <v>34510901.45</v>
      </c>
      <c r="D31" s="383">
        <v>0</v>
      </c>
      <c r="E31" s="383">
        <v>0</v>
      </c>
      <c r="F31" s="383">
        <f t="shared" si="2"/>
        <v>34510901.45</v>
      </c>
      <c r="G31" s="383">
        <f t="shared" si="1"/>
        <v>0</v>
      </c>
      <c r="H31" s="381">
        <f t="shared" si="4"/>
        <v>0</v>
      </c>
      <c r="I31" s="381"/>
      <c r="J31" s="381"/>
      <c r="K31" s="361">
        <f>SUM(G31)</f>
        <v>0</v>
      </c>
      <c r="L31" s="361"/>
    </row>
    <row r="32" spans="1:12" ht="12.75">
      <c r="A32" s="359" t="s">
        <v>680</v>
      </c>
      <c r="B32" s="383">
        <f>+'BCE DIC 2022'!F225</f>
        <v>241759588</v>
      </c>
      <c r="C32" s="383">
        <f>+'BCE DIC 2021'!F241</f>
        <v>241759588</v>
      </c>
      <c r="D32" s="383">
        <v>0</v>
      </c>
      <c r="E32" s="383">
        <v>0</v>
      </c>
      <c r="F32" s="383">
        <f>+B32+D32-E32</f>
        <v>241759588</v>
      </c>
      <c r="G32" s="383">
        <f t="shared" si="1"/>
        <v>0</v>
      </c>
      <c r="H32" s="381">
        <f t="shared" si="4"/>
        <v>0</v>
      </c>
      <c r="I32" s="381"/>
      <c r="J32" s="381"/>
      <c r="K32" s="361">
        <v>0</v>
      </c>
      <c r="L32" s="362">
        <v>45000000</v>
      </c>
    </row>
    <row r="33" spans="1:12" ht="12.75">
      <c r="A33" s="359" t="s">
        <v>45</v>
      </c>
      <c r="B33" s="383">
        <f>+'BCE DIC 2022'!F229</f>
        <v>464690000</v>
      </c>
      <c r="C33" s="383">
        <f>+'BCE DIC 2021'!F245</f>
        <v>464690000</v>
      </c>
      <c r="D33" s="383">
        <v>0</v>
      </c>
      <c r="E33" s="383">
        <f>SUM(D17)</f>
        <v>0</v>
      </c>
      <c r="F33" s="387">
        <f>SUM(B33+E33-D33)</f>
        <v>464690000</v>
      </c>
      <c r="G33" s="383">
        <f>+F33-C33</f>
        <v>0</v>
      </c>
      <c r="H33" s="381">
        <f t="shared" si="4"/>
        <v>0</v>
      </c>
      <c r="I33" s="381"/>
      <c r="J33" s="381"/>
      <c r="K33" s="361">
        <v>0</v>
      </c>
      <c r="L33" s="361">
        <v>0</v>
      </c>
    </row>
    <row r="34" spans="1:12" ht="12.75">
      <c r="A34" s="359" t="s">
        <v>70</v>
      </c>
      <c r="B34" s="383">
        <f>+'Estado integral de resultados'!C30</f>
        <v>197944943</v>
      </c>
      <c r="C34" s="383">
        <f>+'Estado de Situación Financiera'!F86</f>
        <v>130142017</v>
      </c>
      <c r="D34" s="383">
        <v>0</v>
      </c>
      <c r="E34" s="383">
        <v>0</v>
      </c>
      <c r="F34" s="383">
        <f>+B34+D34-E34</f>
        <v>197944943</v>
      </c>
      <c r="G34" s="383">
        <f t="shared" si="1"/>
        <v>67802926</v>
      </c>
      <c r="H34" s="381">
        <f t="shared" si="4"/>
        <v>67802926</v>
      </c>
      <c r="I34" s="381"/>
      <c r="J34" s="381"/>
      <c r="K34" s="361">
        <f>+G34</f>
        <v>67802926</v>
      </c>
      <c r="L34" s="361"/>
    </row>
    <row r="35" spans="1:12" ht="12.75">
      <c r="A35" s="359" t="s">
        <v>681</v>
      </c>
      <c r="B35" s="383">
        <f>+'BCE DIC 2022'!F221</f>
        <v>14745982.71</v>
      </c>
      <c r="C35" s="383">
        <f>+'BCE DIC 2021'!F238</f>
        <v>14745982.71</v>
      </c>
      <c r="D35" s="383">
        <v>0</v>
      </c>
      <c r="E35" s="383">
        <v>0</v>
      </c>
      <c r="F35" s="383">
        <f t="shared" si="2"/>
        <v>14745982.71</v>
      </c>
      <c r="G35" s="383">
        <f t="shared" si="1"/>
        <v>0</v>
      </c>
      <c r="H35" s="381">
        <f t="shared" si="4"/>
        <v>0</v>
      </c>
      <c r="I35" s="381"/>
      <c r="J35" s="381"/>
      <c r="K35" s="361">
        <v>0</v>
      </c>
      <c r="L35" s="361"/>
    </row>
    <row r="36" spans="1:12" ht="12.75">
      <c r="A36" s="371" t="s">
        <v>3</v>
      </c>
      <c r="B36" s="379">
        <f>SUM(B29:B35)</f>
        <v>8253296269.18</v>
      </c>
      <c r="C36" s="379">
        <f>SUM(C29:C35)</f>
        <v>7648242680.030001</v>
      </c>
      <c r="D36" s="383">
        <v>0</v>
      </c>
      <c r="E36" s="383">
        <v>0</v>
      </c>
      <c r="F36" s="383">
        <f t="shared" si="2"/>
        <v>8253296269.18</v>
      </c>
      <c r="G36" s="383">
        <f t="shared" si="1"/>
        <v>605053589.1499996</v>
      </c>
      <c r="H36" s="396">
        <f t="shared" si="4"/>
        <v>605053589.1499996</v>
      </c>
      <c r="I36" s="361"/>
      <c r="J36" s="361"/>
      <c r="K36" s="361"/>
      <c r="L36" s="361"/>
    </row>
    <row r="37" spans="1:12" ht="12.75">
      <c r="A37" s="359"/>
      <c r="B37" s="383"/>
      <c r="C37" s="383"/>
      <c r="D37" s="383">
        <v>0</v>
      </c>
      <c r="E37" s="383">
        <v>0</v>
      </c>
      <c r="F37" s="383"/>
      <c r="G37" s="383"/>
      <c r="H37" s="361"/>
      <c r="I37" s="361"/>
      <c r="J37" s="361"/>
      <c r="K37" s="361"/>
      <c r="L37" s="361"/>
    </row>
    <row r="38" spans="1:12" ht="12.75">
      <c r="A38" s="359"/>
      <c r="B38" s="383"/>
      <c r="C38" s="383"/>
      <c r="D38" s="383">
        <v>0</v>
      </c>
      <c r="E38" s="383">
        <v>0</v>
      </c>
      <c r="F38" s="383">
        <f aca="true" t="shared" si="5" ref="F38:F50">+B38-D38+E38</f>
        <v>0</v>
      </c>
      <c r="G38" s="383">
        <f t="shared" si="1"/>
        <v>0</v>
      </c>
      <c r="H38" s="361"/>
      <c r="I38" s="361"/>
      <c r="J38" s="361"/>
      <c r="K38" s="361"/>
      <c r="L38" s="361"/>
    </row>
    <row r="39" spans="1:12" ht="12.75">
      <c r="A39" s="365" t="s">
        <v>682</v>
      </c>
      <c r="B39" s="383"/>
      <c r="C39" s="383"/>
      <c r="D39" s="383">
        <v>0</v>
      </c>
      <c r="E39" s="383">
        <v>0</v>
      </c>
      <c r="F39" s="383">
        <f t="shared" si="5"/>
        <v>0</v>
      </c>
      <c r="G39" s="383">
        <f t="shared" si="1"/>
        <v>0</v>
      </c>
      <c r="H39" s="361"/>
      <c r="I39" s="361"/>
      <c r="J39" s="361"/>
      <c r="K39" s="361"/>
      <c r="L39" s="361"/>
    </row>
    <row r="40" spans="1:12" ht="12.75">
      <c r="A40" s="365" t="s">
        <v>683</v>
      </c>
      <c r="B40" s="383"/>
      <c r="C40" s="383"/>
      <c r="D40" s="383">
        <v>0</v>
      </c>
      <c r="E40" s="383">
        <v>0</v>
      </c>
      <c r="F40" s="383">
        <f t="shared" si="5"/>
        <v>0</v>
      </c>
      <c r="G40" s="383">
        <f t="shared" si="1"/>
        <v>0</v>
      </c>
      <c r="H40" s="361"/>
      <c r="I40" s="361"/>
      <c r="J40" s="361"/>
      <c r="K40" s="361"/>
      <c r="L40" s="361"/>
    </row>
    <row r="41" spans="1:12" ht="12.75">
      <c r="A41" s="365" t="s">
        <v>684</v>
      </c>
      <c r="B41" s="383"/>
      <c r="C41" s="383"/>
      <c r="D41" s="383">
        <v>0</v>
      </c>
      <c r="E41" s="383">
        <v>0</v>
      </c>
      <c r="F41" s="383">
        <f t="shared" si="5"/>
        <v>0</v>
      </c>
      <c r="G41" s="383">
        <f t="shared" si="1"/>
        <v>0</v>
      </c>
      <c r="H41" s="361"/>
      <c r="I41" s="361"/>
      <c r="J41" s="361"/>
      <c r="K41" s="361"/>
      <c r="L41" s="361"/>
    </row>
    <row r="42" spans="1:12" ht="12.75">
      <c r="A42" s="365" t="s">
        <v>685</v>
      </c>
      <c r="B42" s="383"/>
      <c r="C42" s="383"/>
      <c r="D42" s="383">
        <v>0</v>
      </c>
      <c r="E42" s="383">
        <v>0</v>
      </c>
      <c r="F42" s="383">
        <f t="shared" si="5"/>
        <v>0</v>
      </c>
      <c r="G42" s="383">
        <f t="shared" si="1"/>
        <v>0</v>
      </c>
      <c r="H42" s="361"/>
      <c r="I42" s="361"/>
      <c r="J42" s="361"/>
      <c r="K42" s="361"/>
      <c r="L42" s="361"/>
    </row>
    <row r="43" spans="1:12" ht="12.75">
      <c r="A43" s="365" t="s">
        <v>686</v>
      </c>
      <c r="B43" s="383"/>
      <c r="C43" s="383"/>
      <c r="D43" s="383">
        <v>0</v>
      </c>
      <c r="E43" s="383">
        <v>0</v>
      </c>
      <c r="F43" s="383">
        <f t="shared" si="5"/>
        <v>0</v>
      </c>
      <c r="G43" s="383">
        <f t="shared" si="1"/>
        <v>0</v>
      </c>
      <c r="H43" s="361"/>
      <c r="I43" s="361"/>
      <c r="J43" s="361"/>
      <c r="K43" s="361"/>
      <c r="L43" s="361"/>
    </row>
    <row r="44" spans="1:12" ht="12.75">
      <c r="A44" s="365" t="s">
        <v>687</v>
      </c>
      <c r="B44" s="383"/>
      <c r="C44" s="383"/>
      <c r="D44" s="383">
        <v>0</v>
      </c>
      <c r="E44" s="383">
        <v>0</v>
      </c>
      <c r="F44" s="383">
        <f t="shared" si="5"/>
        <v>0</v>
      </c>
      <c r="G44" s="383">
        <f t="shared" si="1"/>
        <v>0</v>
      </c>
      <c r="H44" s="361"/>
      <c r="I44" s="361"/>
      <c r="J44" s="361"/>
      <c r="K44" s="361"/>
      <c r="L44" s="361"/>
    </row>
    <row r="45" spans="1:12" ht="12.75">
      <c r="A45" s="365"/>
      <c r="B45" s="383"/>
      <c r="C45" s="383"/>
      <c r="D45" s="383">
        <v>0</v>
      </c>
      <c r="E45" s="383">
        <v>0</v>
      </c>
      <c r="F45" s="383">
        <f t="shared" si="5"/>
        <v>0</v>
      </c>
      <c r="G45" s="383">
        <f t="shared" si="1"/>
        <v>0</v>
      </c>
      <c r="H45" s="361"/>
      <c r="I45" s="361"/>
      <c r="J45" s="361"/>
      <c r="K45" s="361"/>
      <c r="L45" s="361"/>
    </row>
    <row r="46" spans="1:12" ht="12.75">
      <c r="A46" s="365" t="s">
        <v>688</v>
      </c>
      <c r="B46" s="383"/>
      <c r="C46" s="383"/>
      <c r="D46" s="383">
        <v>0</v>
      </c>
      <c r="E46" s="383">
        <f>SUM(D16)</f>
        <v>0</v>
      </c>
      <c r="F46" s="383">
        <f>+B46-D46+E46</f>
        <v>0</v>
      </c>
      <c r="G46" s="383">
        <f t="shared" si="1"/>
        <v>0</v>
      </c>
      <c r="H46" s="361"/>
      <c r="I46" s="361"/>
      <c r="J46" s="361"/>
      <c r="K46" s="361">
        <v>21031541</v>
      </c>
      <c r="L46" s="361">
        <v>0</v>
      </c>
    </row>
    <row r="47" spans="1:12" ht="12.75">
      <c r="A47" s="365" t="s">
        <v>689</v>
      </c>
      <c r="B47" s="383"/>
      <c r="C47" s="383"/>
      <c r="D47" s="383">
        <v>0</v>
      </c>
      <c r="E47" s="383">
        <v>0</v>
      </c>
      <c r="F47" s="383">
        <f>SUM(E47)*-1</f>
        <v>0</v>
      </c>
      <c r="G47" s="383">
        <f t="shared" si="1"/>
        <v>0</v>
      </c>
      <c r="H47" s="361"/>
      <c r="I47" s="361"/>
      <c r="J47" s="361"/>
      <c r="K47" s="361">
        <v>0</v>
      </c>
      <c r="L47" s="361">
        <f>-SUM(G47)</f>
        <v>0</v>
      </c>
    </row>
    <row r="48" spans="1:12" ht="12.75">
      <c r="A48" s="365" t="s">
        <v>690</v>
      </c>
      <c r="B48" s="383"/>
      <c r="C48" s="383"/>
      <c r="D48" s="383">
        <v>0</v>
      </c>
      <c r="E48" s="383">
        <v>0</v>
      </c>
      <c r="F48" s="383">
        <f t="shared" si="5"/>
        <v>0</v>
      </c>
      <c r="G48" s="383">
        <f t="shared" si="1"/>
        <v>0</v>
      </c>
      <c r="H48" s="361"/>
      <c r="I48" s="361"/>
      <c r="J48" s="361"/>
      <c r="K48" s="361">
        <v>0</v>
      </c>
      <c r="L48" s="361">
        <v>0</v>
      </c>
    </row>
    <row r="49" spans="1:12" ht="12.75">
      <c r="A49" s="365" t="s">
        <v>691</v>
      </c>
      <c r="B49" s="383"/>
      <c r="C49" s="383"/>
      <c r="D49" s="383">
        <v>0</v>
      </c>
      <c r="E49" s="383">
        <f>SUM(D12)</f>
        <v>0</v>
      </c>
      <c r="F49" s="383">
        <f t="shared" si="5"/>
        <v>0</v>
      </c>
      <c r="G49" s="383">
        <f t="shared" si="1"/>
        <v>0</v>
      </c>
      <c r="H49" s="361"/>
      <c r="I49" s="361"/>
      <c r="J49" s="361"/>
      <c r="K49" s="361">
        <f>+G49</f>
        <v>0</v>
      </c>
      <c r="L49" s="361"/>
    </row>
    <row r="50" spans="1:12" ht="12.75">
      <c r="A50" s="365"/>
      <c r="B50" s="383"/>
      <c r="C50" s="383"/>
      <c r="D50" s="383">
        <v>0</v>
      </c>
      <c r="E50" s="383">
        <v>0</v>
      </c>
      <c r="F50" s="383">
        <f t="shared" si="5"/>
        <v>0</v>
      </c>
      <c r="G50" s="383">
        <f t="shared" si="1"/>
        <v>0</v>
      </c>
      <c r="H50" s="361"/>
      <c r="I50" s="361"/>
      <c r="J50" s="361"/>
      <c r="K50" s="361">
        <f>+G50</f>
        <v>0</v>
      </c>
      <c r="L50" s="361"/>
    </row>
    <row r="51" spans="1:12" ht="13.5" thickBot="1">
      <c r="A51" s="365"/>
      <c r="B51" s="388"/>
      <c r="C51" s="388"/>
      <c r="D51" s="388">
        <v>0</v>
      </c>
      <c r="E51" s="388">
        <v>0</v>
      </c>
      <c r="F51" s="388">
        <f>+C51-D51+E51</f>
        <v>0</v>
      </c>
      <c r="G51" s="388">
        <f t="shared" si="1"/>
        <v>0</v>
      </c>
      <c r="H51" s="366"/>
      <c r="I51" s="366"/>
      <c r="J51" s="366"/>
      <c r="K51" s="366"/>
      <c r="L51" s="366"/>
    </row>
    <row r="52" spans="1:12" ht="13.5" thickBot="1">
      <c r="A52" s="367" t="s">
        <v>692</v>
      </c>
      <c r="B52" s="389">
        <f>SUM(B8:B17)</f>
        <v>8394263997.82</v>
      </c>
      <c r="C52" s="389">
        <f>SUM(C8:C17)</f>
        <v>7868084674.360001</v>
      </c>
      <c r="D52" s="389"/>
      <c r="E52" s="389"/>
      <c r="F52" s="389">
        <f>SUM(F8:F17)</f>
        <v>8394263997.82</v>
      </c>
      <c r="G52" s="389">
        <f>SUM(G8:G17)</f>
        <v>526179323.4600003</v>
      </c>
      <c r="H52" s="368"/>
      <c r="I52" s="368"/>
      <c r="J52" s="368"/>
      <c r="K52" s="368"/>
      <c r="L52" s="368"/>
    </row>
    <row r="53" spans="1:12" ht="13.5" thickBot="1">
      <c r="A53" s="369" t="s">
        <v>693</v>
      </c>
      <c r="B53" s="390">
        <f>+B27+B36</f>
        <v>8394263998</v>
      </c>
      <c r="C53" s="390">
        <f>+C27+C36</f>
        <v>7868084673.910001</v>
      </c>
      <c r="D53" s="390">
        <f>SUM(D8:D51)</f>
        <v>0</v>
      </c>
      <c r="E53" s="390">
        <f>SUM(E8:E51)</f>
        <v>0</v>
      </c>
      <c r="F53" s="390">
        <f>SUM(F20:F51)</f>
        <v>16788527996</v>
      </c>
      <c r="G53" s="390">
        <f>SUM(G20:G51)</f>
        <v>1052358648.1799992</v>
      </c>
      <c r="H53" s="370"/>
      <c r="I53" s="370">
        <f>SUM(I8:I52)</f>
        <v>-773657905.8000007</v>
      </c>
      <c r="J53" s="370">
        <f>SUM(J8:J52)</f>
        <v>-979395519.96</v>
      </c>
      <c r="K53" s="370">
        <f>SUM(K8:K52)</f>
        <v>869865536.6299996</v>
      </c>
      <c r="L53" s="370">
        <f>SUM(L8:L52)</f>
        <v>497634893.3100004</v>
      </c>
    </row>
    <row r="54" spans="1:12" ht="12.75">
      <c r="A54" s="371" t="s">
        <v>694</v>
      </c>
      <c r="B54" s="386">
        <f>+B52-B53</f>
        <v>-0.18000030517578125</v>
      </c>
      <c r="C54" s="386">
        <f>+C52-C53</f>
        <v>0.4499998092651367</v>
      </c>
      <c r="D54" s="386"/>
      <c r="E54" s="386">
        <f>+D53-E53</f>
        <v>0</v>
      </c>
      <c r="F54" s="386">
        <f>+F52-F53</f>
        <v>-8394263998.18</v>
      </c>
      <c r="G54" s="386">
        <f>+G52-G53</f>
        <v>-526179324.71999896</v>
      </c>
      <c r="H54" s="364"/>
      <c r="I54" s="364"/>
      <c r="J54" s="364"/>
      <c r="K54" s="364"/>
      <c r="L54" s="364">
        <f>+K53-L53</f>
        <v>372230643.3199992</v>
      </c>
    </row>
    <row r="55" spans="1:12" ht="12.75">
      <c r="A55" s="358"/>
      <c r="B55" s="383">
        <f>+B52-B53</f>
        <v>-0.18000030517578125</v>
      </c>
      <c r="C55" s="383">
        <f>+C52-C53</f>
        <v>0.4499998092651367</v>
      </c>
      <c r="D55" s="383"/>
      <c r="E55" s="383">
        <f>+D53-E53</f>
        <v>0</v>
      </c>
      <c r="F55" s="383">
        <f>+F52-F53</f>
        <v>-8394263998.18</v>
      </c>
      <c r="G55" s="383">
        <f>+G52-G53</f>
        <v>-526179324.71999896</v>
      </c>
      <c r="H55" s="361"/>
      <c r="I55" s="361"/>
      <c r="J55" s="361"/>
      <c r="K55" s="361"/>
      <c r="L55" s="361">
        <f>+L53-K53</f>
        <v>-372230643.3199992</v>
      </c>
    </row>
    <row r="57" ht="12.75">
      <c r="J57" s="123">
        <f>+J53-I53</f>
        <v>-205737614.15999937</v>
      </c>
    </row>
    <row r="59" ht="12.75">
      <c r="J59" s="345"/>
    </row>
  </sheetData>
  <sheetProtection/>
  <mergeCells count="4">
    <mergeCell ref="A1:L1"/>
    <mergeCell ref="A2:L2"/>
    <mergeCell ref="A3:L3"/>
    <mergeCell ref="D6:E6"/>
  </mergeCells>
  <printOptions/>
  <pageMargins left="0.7" right="0.7" top="0.75" bottom="0.75" header="0.3" footer="0.3"/>
  <pageSetup horizontalDpi="600" verticalDpi="600" orientation="portrait" r:id="rId1"/>
  <ignoredErrors>
    <ignoredError sqref="F16:G16" evalError="1"/>
    <ignoredError sqref="F33 F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3:N89"/>
  <sheetViews>
    <sheetView showGridLines="0" zoomScalePageLayoutView="0" workbookViewId="0" topLeftCell="A76">
      <selection activeCell="B86" sqref="B86"/>
    </sheetView>
  </sheetViews>
  <sheetFormatPr defaultColWidth="11.421875" defaultRowHeight="12.75"/>
  <cols>
    <col min="1" max="1" width="8.00390625" style="0" customWidth="1"/>
    <col min="2" max="2" width="21.8515625" style="0" customWidth="1"/>
    <col min="3" max="3" width="6.00390625" style="0" customWidth="1"/>
    <col min="4" max="4" width="16.140625" style="0" customWidth="1"/>
    <col min="5" max="5" width="9.140625" style="0" customWidth="1"/>
    <col min="6" max="6" width="18.140625" style="0" customWidth="1"/>
    <col min="13" max="13" width="13.7109375" style="0" bestFit="1" customWidth="1"/>
  </cols>
  <sheetData>
    <row r="2" ht="13.5" thickBot="1"/>
    <row r="3" spans="1:8" ht="20.25" customHeight="1">
      <c r="A3" s="506" t="s">
        <v>19</v>
      </c>
      <c r="B3" s="507"/>
      <c r="C3" s="507"/>
      <c r="D3" s="507"/>
      <c r="E3" s="507"/>
      <c r="F3" s="507"/>
      <c r="G3" s="507"/>
      <c r="H3" s="134"/>
    </row>
    <row r="4" spans="1:8" ht="13.5" customHeight="1" thickBot="1">
      <c r="A4" s="508"/>
      <c r="B4" s="509"/>
      <c r="C4" s="509"/>
      <c r="D4" s="509"/>
      <c r="E4" s="509"/>
      <c r="F4" s="509"/>
      <c r="G4" s="509"/>
      <c r="H4" s="134"/>
    </row>
    <row r="5" spans="1:7" ht="21" customHeight="1" thickBot="1">
      <c r="A5" s="219" t="s">
        <v>184</v>
      </c>
      <c r="B5" s="131"/>
      <c r="C5" s="131"/>
      <c r="D5" s="131"/>
      <c r="E5" s="131"/>
      <c r="F5" s="132">
        <v>44896</v>
      </c>
      <c r="G5" s="131"/>
    </row>
    <row r="6" spans="1:7" ht="21" customHeight="1">
      <c r="A6" s="215" t="s">
        <v>110</v>
      </c>
      <c r="B6" s="216"/>
      <c r="C6" s="217"/>
      <c r="D6" s="216"/>
      <c r="E6" s="143"/>
      <c r="F6" s="143"/>
      <c r="G6" s="144"/>
    </row>
    <row r="7" spans="1:7" ht="21" customHeight="1">
      <c r="A7" s="224"/>
      <c r="B7" s="213"/>
      <c r="C7" s="214"/>
      <c r="D7" s="213"/>
      <c r="E7" s="35"/>
      <c r="F7" s="35"/>
      <c r="G7" s="133"/>
    </row>
    <row r="8" spans="1:7" ht="13.5" thickBot="1">
      <c r="A8" s="510" t="s">
        <v>190</v>
      </c>
      <c r="B8" s="511"/>
      <c r="C8" s="505" t="s">
        <v>111</v>
      </c>
      <c r="D8" s="150" t="s">
        <v>112</v>
      </c>
      <c r="E8" s="35"/>
      <c r="F8" s="35"/>
      <c r="G8" s="192"/>
    </row>
    <row r="9" spans="1:7" ht="12.75">
      <c r="A9" s="510"/>
      <c r="B9" s="511"/>
      <c r="C9" s="505"/>
      <c r="D9" s="119" t="s">
        <v>113</v>
      </c>
      <c r="E9" s="35"/>
      <c r="F9" s="35"/>
      <c r="G9" s="133"/>
    </row>
    <row r="10" spans="1:7" ht="12.75">
      <c r="A10" s="134"/>
      <c r="B10" s="35"/>
      <c r="C10" s="135"/>
      <c r="D10" s="35"/>
      <c r="E10" s="35"/>
      <c r="F10" s="35"/>
      <c r="G10" s="133"/>
    </row>
    <row r="11" spans="1:7" ht="12.75">
      <c r="A11" s="134"/>
      <c r="B11" s="35"/>
      <c r="C11" s="35"/>
      <c r="D11" s="35"/>
      <c r="E11" s="35"/>
      <c r="F11" s="35"/>
      <c r="G11" s="133"/>
    </row>
    <row r="12" spans="1:7" ht="16.5" customHeight="1" thickBot="1">
      <c r="A12" s="502">
        <v>2022</v>
      </c>
      <c r="B12" s="201">
        <f>SUM('Estado de Situación Financiera'!D27)</f>
        <v>3280179590</v>
      </c>
      <c r="C12" s="505" t="s">
        <v>111</v>
      </c>
      <c r="D12" s="512">
        <f>+B12/B13</f>
        <v>23.269010698103976</v>
      </c>
      <c r="E12" s="138"/>
      <c r="F12" s="138"/>
      <c r="G12" s="193"/>
    </row>
    <row r="13" spans="1:7" ht="17.25" customHeight="1">
      <c r="A13" s="502"/>
      <c r="B13" s="202">
        <f>SUM('Estado de Situación Financiera'!D81)</f>
        <v>140967728.82</v>
      </c>
      <c r="C13" s="505"/>
      <c r="D13" s="512"/>
      <c r="E13" s="35"/>
      <c r="F13" s="35"/>
      <c r="G13" s="133"/>
    </row>
    <row r="14" spans="1:7" ht="12.75">
      <c r="A14" s="137"/>
      <c r="B14" s="194"/>
      <c r="C14" s="195"/>
      <c r="D14" s="35"/>
      <c r="E14" s="35"/>
      <c r="F14" s="35"/>
      <c r="G14" s="133"/>
    </row>
    <row r="15" spans="1:7" ht="13.5" thickBot="1">
      <c r="A15" s="139"/>
      <c r="B15" s="140"/>
      <c r="C15" s="196"/>
      <c r="D15" s="136"/>
      <c r="E15" s="136"/>
      <c r="F15" s="136"/>
      <c r="G15" s="141"/>
    </row>
    <row r="16" spans="1:7" ht="12.75">
      <c r="A16" s="409"/>
      <c r="B16" s="220"/>
      <c r="C16" s="195"/>
      <c r="D16" s="35"/>
      <c r="E16" s="35"/>
      <c r="F16" s="35"/>
      <c r="G16" s="413"/>
    </row>
    <row r="17" spans="1:7" ht="12.75">
      <c r="A17" s="410"/>
      <c r="B17" s="220" t="s">
        <v>181</v>
      </c>
      <c r="C17" s="195"/>
      <c r="D17" s="35"/>
      <c r="E17" s="35"/>
      <c r="F17" s="35"/>
      <c r="G17" s="414"/>
    </row>
    <row r="18" spans="1:11" ht="12.75">
      <c r="A18" s="411"/>
      <c r="B18" s="119" t="s">
        <v>185</v>
      </c>
      <c r="C18" s="119"/>
      <c r="D18" s="119"/>
      <c r="E18" s="119"/>
      <c r="F18" s="119"/>
      <c r="G18" s="415"/>
      <c r="H18" s="119"/>
      <c r="I18" s="119"/>
      <c r="J18" s="119"/>
      <c r="K18" s="119"/>
    </row>
    <row r="19" spans="1:11" ht="12.75">
      <c r="A19" s="411"/>
      <c r="B19" s="119" t="s">
        <v>187</v>
      </c>
      <c r="C19" s="119"/>
      <c r="D19" s="119"/>
      <c r="E19" s="119"/>
      <c r="F19" s="119"/>
      <c r="G19" s="415"/>
      <c r="H19" s="119"/>
      <c r="I19" s="119"/>
      <c r="J19" s="119"/>
      <c r="K19" s="119"/>
    </row>
    <row r="20" spans="1:11" ht="12.75">
      <c r="A20" s="411"/>
      <c r="B20" s="119" t="s">
        <v>186</v>
      </c>
      <c r="C20" s="119"/>
      <c r="D20" s="119"/>
      <c r="E20" s="119"/>
      <c r="F20" s="119"/>
      <c r="G20" s="415"/>
      <c r="H20" s="119"/>
      <c r="I20" s="119"/>
      <c r="J20" s="119"/>
      <c r="K20" s="119"/>
    </row>
    <row r="21" spans="1:11" ht="12.75">
      <c r="A21" s="411"/>
      <c r="B21" s="119" t="s">
        <v>189</v>
      </c>
      <c r="C21" s="119"/>
      <c r="D21" s="119"/>
      <c r="E21" s="119"/>
      <c r="F21" s="406">
        <f>SUM(D12)</f>
        <v>23.269010698103976</v>
      </c>
      <c r="G21" s="415"/>
      <c r="H21" s="119"/>
      <c r="I21" s="119"/>
      <c r="J21" s="119"/>
      <c r="K21" s="119"/>
    </row>
    <row r="22" spans="1:7" ht="12.75">
      <c r="A22" s="411"/>
      <c r="B22" s="119" t="s">
        <v>188</v>
      </c>
      <c r="C22" s="135"/>
      <c r="D22" s="35"/>
      <c r="E22" s="35"/>
      <c r="F22" s="35"/>
      <c r="G22" s="414"/>
    </row>
    <row r="23" spans="1:7" ht="13.5" thickBot="1">
      <c r="A23" s="412"/>
      <c r="B23" s="136"/>
      <c r="C23" s="142"/>
      <c r="D23" s="136"/>
      <c r="E23" s="136"/>
      <c r="F23" s="136"/>
      <c r="G23" s="416"/>
    </row>
    <row r="24" spans="1:7" ht="21.75" customHeight="1">
      <c r="A24" s="215" t="s">
        <v>114</v>
      </c>
      <c r="B24" s="216"/>
      <c r="C24" s="217"/>
      <c r="D24" s="216"/>
      <c r="E24" s="143"/>
      <c r="F24" s="143"/>
      <c r="G24" s="144"/>
    </row>
    <row r="25" spans="1:7" ht="21.75" customHeight="1">
      <c r="A25" s="224"/>
      <c r="B25" s="213"/>
      <c r="C25" s="214"/>
      <c r="D25" s="213"/>
      <c r="E25" s="35"/>
      <c r="F25" s="35"/>
      <c r="G25" s="133"/>
    </row>
    <row r="26" spans="1:7" ht="12.75">
      <c r="A26" s="137"/>
      <c r="B26" s="198" t="s">
        <v>115</v>
      </c>
      <c r="C26" s="135"/>
      <c r="D26" s="138"/>
      <c r="E26" s="138"/>
      <c r="F26" s="138"/>
      <c r="G26" s="133"/>
    </row>
    <row r="27" spans="1:7" ht="12.75">
      <c r="A27" s="137"/>
      <c r="B27" s="195"/>
      <c r="C27" s="135"/>
      <c r="D27" s="35"/>
      <c r="E27" s="35"/>
      <c r="F27" s="35"/>
      <c r="G27" s="133"/>
    </row>
    <row r="28" spans="1:7" ht="21.75" customHeight="1">
      <c r="A28" s="137">
        <f>SUM(A12)</f>
        <v>2022</v>
      </c>
      <c r="B28" s="202">
        <f>+B12</f>
        <v>3280179590</v>
      </c>
      <c r="C28" s="153" t="s">
        <v>116</v>
      </c>
      <c r="D28" s="202">
        <f>+B13</f>
        <v>140967728.82</v>
      </c>
      <c r="E28" s="153" t="s">
        <v>111</v>
      </c>
      <c r="F28" s="407">
        <f>+B28-D28</f>
        <v>3139211861.18</v>
      </c>
      <c r="G28" s="133"/>
    </row>
    <row r="29" spans="1:7" ht="13.5" thickBot="1">
      <c r="A29" s="139"/>
      <c r="B29" s="136"/>
      <c r="C29" s="142"/>
      <c r="D29" s="196"/>
      <c r="E29" s="136"/>
      <c r="F29" s="136"/>
      <c r="G29" s="141"/>
    </row>
    <row r="30" spans="1:7" ht="12.75">
      <c r="A30" s="409"/>
      <c r="B30" s="35"/>
      <c r="C30" s="135"/>
      <c r="D30" s="195"/>
      <c r="E30" s="35"/>
      <c r="F30" s="35"/>
      <c r="G30" s="413"/>
    </row>
    <row r="31" spans="1:7" ht="12.75">
      <c r="A31" s="410"/>
      <c r="B31" s="220" t="s">
        <v>181</v>
      </c>
      <c r="C31" s="135"/>
      <c r="D31" s="195"/>
      <c r="E31" s="35"/>
      <c r="F31" s="35"/>
      <c r="G31" s="414"/>
    </row>
    <row r="32" spans="1:11" ht="12.75">
      <c r="A32" s="410"/>
      <c r="B32" s="119" t="s">
        <v>182</v>
      </c>
      <c r="C32" s="149"/>
      <c r="D32" s="198"/>
      <c r="E32" s="119"/>
      <c r="F32" s="119"/>
      <c r="G32" s="415"/>
      <c r="H32" s="151"/>
      <c r="I32" s="151"/>
      <c r="J32" s="151"/>
      <c r="K32" s="151"/>
    </row>
    <row r="33" spans="1:11" ht="12.75">
      <c r="A33" s="410"/>
      <c r="B33" s="119" t="s">
        <v>183</v>
      </c>
      <c r="C33" s="149"/>
      <c r="D33" s="198"/>
      <c r="E33" s="119"/>
      <c r="F33" s="119"/>
      <c r="G33" s="415"/>
      <c r="H33" s="151"/>
      <c r="I33" s="151"/>
      <c r="J33" s="151"/>
      <c r="K33" s="151"/>
    </row>
    <row r="34" spans="1:11" ht="12.75">
      <c r="A34" s="410"/>
      <c r="B34" s="119" t="s">
        <v>117</v>
      </c>
      <c r="C34" s="149"/>
      <c r="D34" s="198"/>
      <c r="E34" s="119"/>
      <c r="F34" s="119"/>
      <c r="G34" s="415"/>
      <c r="H34" s="151"/>
      <c r="I34" s="151"/>
      <c r="J34" s="151"/>
      <c r="K34" s="151"/>
    </row>
    <row r="35" spans="1:7" ht="13.5" thickBot="1">
      <c r="A35" s="417"/>
      <c r="B35" s="136"/>
      <c r="C35" s="142"/>
      <c r="D35" s="196"/>
      <c r="E35" s="136"/>
      <c r="F35" s="136"/>
      <c r="G35" s="416"/>
    </row>
    <row r="36" spans="1:7" ht="18.75" customHeight="1">
      <c r="A36" s="215" t="s">
        <v>180</v>
      </c>
      <c r="B36" s="216"/>
      <c r="C36" s="217"/>
      <c r="D36" s="218"/>
      <c r="E36" s="216"/>
      <c r="F36" s="216"/>
      <c r="G36" s="144"/>
    </row>
    <row r="37" spans="1:7" ht="18.75" customHeight="1">
      <c r="A37" s="224"/>
      <c r="B37" s="213"/>
      <c r="C37" s="214"/>
      <c r="D37" s="225"/>
      <c r="E37" s="213"/>
      <c r="F37" s="213"/>
      <c r="G37" s="133"/>
    </row>
    <row r="38" spans="1:7" ht="18.75" customHeight="1">
      <c r="A38" s="137" t="s">
        <v>118</v>
      </c>
      <c r="B38" s="35"/>
      <c r="C38" s="135"/>
      <c r="D38" s="195"/>
      <c r="E38" s="35"/>
      <c r="F38" s="35"/>
      <c r="G38" s="133"/>
    </row>
    <row r="39" spans="1:7" ht="13.5" thickBot="1">
      <c r="A39" s="134"/>
      <c r="B39" s="35"/>
      <c r="C39" s="505" t="s">
        <v>111</v>
      </c>
      <c r="D39" s="199" t="s">
        <v>119</v>
      </c>
      <c r="E39" s="35"/>
      <c r="F39" s="35"/>
      <c r="G39" s="133"/>
    </row>
    <row r="40" spans="1:7" ht="12.75">
      <c r="A40" s="134"/>
      <c r="B40" s="35"/>
      <c r="C40" s="505"/>
      <c r="D40" s="119" t="s">
        <v>120</v>
      </c>
      <c r="E40" s="35"/>
      <c r="F40" s="35"/>
      <c r="G40" s="133"/>
    </row>
    <row r="41" spans="1:7" ht="12.75">
      <c r="A41" s="134"/>
      <c r="B41" s="35"/>
      <c r="C41" s="149"/>
      <c r="D41" s="119"/>
      <c r="E41" s="35"/>
      <c r="F41" s="35"/>
      <c r="G41" s="133"/>
    </row>
    <row r="42" spans="1:7" ht="13.5" thickBot="1">
      <c r="A42" s="502">
        <v>2022</v>
      </c>
      <c r="B42" s="201">
        <f>+D28</f>
        <v>140967728.82</v>
      </c>
      <c r="C42" s="505" t="s">
        <v>111</v>
      </c>
      <c r="D42" s="513">
        <f>+B42/B43</f>
        <v>0.020658270917094875</v>
      </c>
      <c r="E42" s="138"/>
      <c r="F42" s="138"/>
      <c r="G42" s="193"/>
    </row>
    <row r="43" spans="1:7" ht="12.75">
      <c r="A43" s="502"/>
      <c r="B43" s="202">
        <f>SUM('Estado de Situación Financiera'!D83)</f>
        <v>6823791274</v>
      </c>
      <c r="C43" s="505"/>
      <c r="D43" s="513"/>
      <c r="E43" s="35"/>
      <c r="F43" s="35"/>
      <c r="G43" s="133"/>
    </row>
    <row r="44" spans="1:7" ht="12.75">
      <c r="A44" s="134"/>
      <c r="B44" s="35"/>
      <c r="C44" s="135"/>
      <c r="D44" s="35"/>
      <c r="E44" s="35"/>
      <c r="F44" s="35"/>
      <c r="G44" s="133"/>
    </row>
    <row r="45" spans="1:7" ht="12.75">
      <c r="A45" s="134"/>
      <c r="B45" s="35"/>
      <c r="C45" s="135"/>
      <c r="D45" s="35"/>
      <c r="E45" s="35"/>
      <c r="F45" s="35"/>
      <c r="G45" s="133"/>
    </row>
    <row r="46" spans="1:7" ht="12.75">
      <c r="A46" s="137" t="s">
        <v>179</v>
      </c>
      <c r="B46" s="35"/>
      <c r="C46" s="135"/>
      <c r="D46" s="35"/>
      <c r="E46" s="35"/>
      <c r="F46" s="35"/>
      <c r="G46" s="133"/>
    </row>
    <row r="47" spans="1:7" ht="12.75">
      <c r="A47" s="137"/>
      <c r="B47" s="35"/>
      <c r="C47" s="135"/>
      <c r="D47" s="35"/>
      <c r="E47" s="35"/>
      <c r="F47" s="35"/>
      <c r="G47" s="133"/>
    </row>
    <row r="48" spans="1:7" ht="12.75">
      <c r="A48" s="134"/>
      <c r="B48" s="119" t="s">
        <v>121</v>
      </c>
      <c r="C48" s="135"/>
      <c r="D48" s="35"/>
      <c r="E48" s="35"/>
      <c r="F48" s="35"/>
      <c r="G48" s="133"/>
    </row>
    <row r="49" spans="1:7" ht="12.75">
      <c r="A49" s="134"/>
      <c r="B49" s="35"/>
      <c r="C49" s="135"/>
      <c r="D49" s="35"/>
      <c r="E49" s="35"/>
      <c r="F49" s="35"/>
      <c r="G49" s="133"/>
    </row>
    <row r="50" spans="1:7" ht="12.75">
      <c r="A50" s="137">
        <f>SUM(A42)</f>
        <v>2022</v>
      </c>
      <c r="B50" s="203">
        <f>SUM('Estado de Situación Financiera'!D48)</f>
        <v>8394263998</v>
      </c>
      <c r="C50" s="135" t="s">
        <v>116</v>
      </c>
      <c r="D50" s="203">
        <f>+D28</f>
        <v>140967728.82</v>
      </c>
      <c r="E50" s="149" t="s">
        <v>111</v>
      </c>
      <c r="F50" s="408">
        <f>+B50-D50</f>
        <v>8253296269.18</v>
      </c>
      <c r="G50" s="133"/>
    </row>
    <row r="51" spans="1:7" ht="13.5" thickBot="1">
      <c r="A51" s="139"/>
      <c r="B51" s="136"/>
      <c r="C51" s="142"/>
      <c r="D51" s="136"/>
      <c r="E51" s="136"/>
      <c r="F51" s="136"/>
      <c r="G51" s="141"/>
    </row>
    <row r="52" spans="1:7" ht="13.5" thickBot="1">
      <c r="A52" s="35"/>
      <c r="B52" s="35"/>
      <c r="C52" s="135"/>
      <c r="D52" s="35"/>
      <c r="E52" s="35"/>
      <c r="F52" s="35"/>
      <c r="G52" s="35"/>
    </row>
    <row r="53" spans="1:7" ht="18.75" customHeight="1">
      <c r="A53" s="221" t="s">
        <v>122</v>
      </c>
      <c r="B53" s="143"/>
      <c r="C53" s="146"/>
      <c r="D53" s="143"/>
      <c r="E53" s="143"/>
      <c r="F53" s="143"/>
      <c r="G53" s="144"/>
    </row>
    <row r="54" spans="1:7" ht="14.25" customHeight="1">
      <c r="A54" s="137"/>
      <c r="B54" s="35"/>
      <c r="C54" s="135"/>
      <c r="D54" s="35"/>
      <c r="E54" s="35"/>
      <c r="F54" s="35"/>
      <c r="G54" s="133"/>
    </row>
    <row r="55" spans="1:7" ht="18" customHeight="1">
      <c r="A55" s="134"/>
      <c r="B55" s="119" t="s">
        <v>123</v>
      </c>
      <c r="C55" s="135"/>
      <c r="D55" s="35"/>
      <c r="E55" s="35"/>
      <c r="F55" s="35"/>
      <c r="G55" s="133"/>
    </row>
    <row r="56" spans="1:7" ht="12.75">
      <c r="A56" s="134"/>
      <c r="B56" s="35"/>
      <c r="C56" s="135"/>
      <c r="D56" s="35"/>
      <c r="E56" s="35"/>
      <c r="F56" s="35"/>
      <c r="G56" s="133"/>
    </row>
    <row r="57" spans="1:7" ht="13.5" thickBot="1">
      <c r="A57" s="502">
        <f>SUM(A50)</f>
        <v>2022</v>
      </c>
      <c r="B57" s="204">
        <f>+B42</f>
        <v>140967728.82</v>
      </c>
      <c r="C57" s="505" t="s">
        <v>111</v>
      </c>
      <c r="D57" s="503">
        <f>+B57/B58</f>
        <v>0.01679333993469668</v>
      </c>
      <c r="E57" s="35"/>
      <c r="F57" s="35"/>
      <c r="G57" s="133"/>
    </row>
    <row r="58" spans="1:7" ht="12.75">
      <c r="A58" s="502"/>
      <c r="B58" s="203">
        <f>+B50</f>
        <v>8394263998</v>
      </c>
      <c r="C58" s="505"/>
      <c r="D58" s="503"/>
      <c r="E58" s="197"/>
      <c r="F58" s="197"/>
      <c r="G58" s="133"/>
    </row>
    <row r="59" spans="1:7" ht="12.75">
      <c r="A59" s="134"/>
      <c r="B59" s="197"/>
      <c r="C59" s="197"/>
      <c r="D59" s="197"/>
      <c r="E59" s="197"/>
      <c r="F59" s="197"/>
      <c r="G59" s="133"/>
    </row>
    <row r="60" spans="1:7" ht="12.75">
      <c r="A60" s="134"/>
      <c r="B60" s="197"/>
      <c r="C60" s="197"/>
      <c r="D60" s="197"/>
      <c r="E60" s="197"/>
      <c r="F60" s="197"/>
      <c r="G60" s="133"/>
    </row>
    <row r="61" spans="1:7" ht="17.25" customHeight="1">
      <c r="A61" s="137" t="s">
        <v>178</v>
      </c>
      <c r="B61" s="197"/>
      <c r="C61" s="197"/>
      <c r="D61" s="197"/>
      <c r="E61" s="197"/>
      <c r="F61" s="197"/>
      <c r="G61" s="133"/>
    </row>
    <row r="62" spans="1:7" ht="14.25" customHeight="1">
      <c r="A62" s="137"/>
      <c r="B62" s="197"/>
      <c r="C62" s="197"/>
      <c r="D62" s="197"/>
      <c r="E62" s="197"/>
      <c r="F62" s="197"/>
      <c r="G62" s="133"/>
    </row>
    <row r="63" spans="1:7" ht="16.5" customHeight="1">
      <c r="A63" s="134"/>
      <c r="B63" s="200" t="s">
        <v>124</v>
      </c>
      <c r="C63" s="197"/>
      <c r="D63" s="197"/>
      <c r="E63" s="197"/>
      <c r="F63" s="197"/>
      <c r="G63" s="133"/>
    </row>
    <row r="64" spans="1:7" ht="12.75">
      <c r="A64" s="134"/>
      <c r="B64" s="197"/>
      <c r="C64" s="197"/>
      <c r="D64" s="197"/>
      <c r="E64" s="197"/>
      <c r="F64" s="197"/>
      <c r="G64" s="133"/>
    </row>
    <row r="65" spans="1:7" ht="13.5" thickBot="1">
      <c r="A65" s="502">
        <f>SUM(A57)</f>
        <v>2022</v>
      </c>
      <c r="B65" s="204">
        <f>SUM(B43)</f>
        <v>6823791274</v>
      </c>
      <c r="C65" s="504" t="s">
        <v>111</v>
      </c>
      <c r="D65" s="503">
        <f>+B65/B66</f>
        <v>0.8129112064650126</v>
      </c>
      <c r="E65" s="197"/>
      <c r="F65" s="197"/>
      <c r="G65" s="133"/>
    </row>
    <row r="66" spans="1:7" ht="12.75">
      <c r="A66" s="502"/>
      <c r="B66" s="203">
        <f>+B58</f>
        <v>8394263998</v>
      </c>
      <c r="C66" s="504"/>
      <c r="D66" s="503"/>
      <c r="E66" s="197"/>
      <c r="F66" s="197"/>
      <c r="G66" s="133"/>
    </row>
    <row r="67" spans="1:7" ht="13.5" thickBot="1">
      <c r="A67" s="139"/>
      <c r="B67" s="147"/>
      <c r="C67" s="147"/>
      <c r="D67" s="147"/>
      <c r="E67" s="147"/>
      <c r="F67" s="147"/>
      <c r="G67" s="141"/>
    </row>
    <row r="68" spans="1:7" ht="13.5" thickBot="1">
      <c r="A68" s="145"/>
      <c r="B68" s="148"/>
      <c r="C68" s="148"/>
      <c r="D68" s="148"/>
      <c r="E68" s="148"/>
      <c r="F68" s="148"/>
      <c r="G68" s="143"/>
    </row>
    <row r="69" spans="1:7" ht="18" customHeight="1">
      <c r="A69" s="496" t="s">
        <v>175</v>
      </c>
      <c r="B69" s="497"/>
      <c r="C69" s="497"/>
      <c r="D69" s="497"/>
      <c r="E69" s="497"/>
      <c r="F69" s="497"/>
      <c r="G69" s="498"/>
    </row>
    <row r="70" spans="1:7" ht="13.5" customHeight="1" thickBot="1">
      <c r="A70" s="499"/>
      <c r="B70" s="500"/>
      <c r="C70" s="500"/>
      <c r="D70" s="500"/>
      <c r="E70" s="500"/>
      <c r="F70" s="500"/>
      <c r="G70" s="501"/>
    </row>
    <row r="71" spans="1:7" ht="13.5" customHeight="1" thickBot="1">
      <c r="A71" s="222"/>
      <c r="B71" s="223"/>
      <c r="C71" s="223"/>
      <c r="D71" s="223"/>
      <c r="E71" s="223"/>
      <c r="F71" s="223"/>
      <c r="G71" s="223"/>
    </row>
    <row r="72" spans="1:7" ht="12.75">
      <c r="A72" s="221" t="s">
        <v>176</v>
      </c>
      <c r="B72" s="148"/>
      <c r="C72" s="148"/>
      <c r="D72" s="148"/>
      <c r="E72" s="148"/>
      <c r="F72" s="148"/>
      <c r="G72" s="144"/>
    </row>
    <row r="73" spans="1:7" ht="12.75">
      <c r="A73" s="137"/>
      <c r="B73" s="197"/>
      <c r="C73" s="197"/>
      <c r="D73" s="197"/>
      <c r="E73" s="197"/>
      <c r="F73" s="197"/>
      <c r="G73" s="133"/>
    </row>
    <row r="74" spans="1:7" ht="12.75">
      <c r="A74" s="134"/>
      <c r="B74" s="200" t="s">
        <v>177</v>
      </c>
      <c r="C74" s="197"/>
      <c r="D74" s="197"/>
      <c r="E74" s="197"/>
      <c r="F74" s="197"/>
      <c r="G74" s="133"/>
    </row>
    <row r="75" spans="1:7" ht="12.75">
      <c r="A75" s="134"/>
      <c r="B75" s="197"/>
      <c r="C75" s="197"/>
      <c r="D75" s="197"/>
      <c r="E75" s="197"/>
      <c r="F75" s="197"/>
      <c r="G75" s="133"/>
    </row>
    <row r="76" spans="1:7" ht="13.5" thickBot="1">
      <c r="A76" s="502">
        <f>SUM(A65)</f>
        <v>2022</v>
      </c>
      <c r="B76" s="204">
        <f>SUM('Estado integral de resultados'!C15)</f>
        <v>1052844827</v>
      </c>
      <c r="C76" s="504" t="s">
        <v>111</v>
      </c>
      <c r="D76" s="503">
        <f>+B76/B77</f>
        <v>0.12542431680143115</v>
      </c>
      <c r="E76" s="197"/>
      <c r="F76" s="197"/>
      <c r="G76" s="133"/>
    </row>
    <row r="77" spans="1:7" ht="12.75">
      <c r="A77" s="502"/>
      <c r="B77" s="203">
        <f>+B66</f>
        <v>8394263998</v>
      </c>
      <c r="C77" s="504"/>
      <c r="D77" s="503"/>
      <c r="E77" s="197"/>
      <c r="F77" s="197"/>
      <c r="G77" s="133"/>
    </row>
    <row r="78" spans="1:7" ht="12.75">
      <c r="A78" s="134"/>
      <c r="B78" s="197"/>
      <c r="C78" s="197"/>
      <c r="D78" s="197"/>
      <c r="E78" s="197"/>
      <c r="F78" s="197"/>
      <c r="G78" s="133"/>
    </row>
    <row r="79" spans="1:7" ht="12.75">
      <c r="A79" s="134"/>
      <c r="B79" s="35"/>
      <c r="C79" s="135"/>
      <c r="D79" s="35"/>
      <c r="E79" s="35"/>
      <c r="F79" s="35"/>
      <c r="G79" s="133"/>
    </row>
    <row r="80" spans="1:7" ht="12.75">
      <c r="A80" s="134"/>
      <c r="B80" s="35"/>
      <c r="C80" s="135"/>
      <c r="D80" s="35"/>
      <c r="E80" s="35"/>
      <c r="F80" s="35"/>
      <c r="G80" s="133"/>
    </row>
    <row r="81" spans="1:7" ht="12.75">
      <c r="A81" s="137" t="s">
        <v>125</v>
      </c>
      <c r="B81" s="35"/>
      <c r="C81" s="135"/>
      <c r="D81" s="35"/>
      <c r="E81" s="35"/>
      <c r="F81" s="35"/>
      <c r="G81" s="133"/>
    </row>
    <row r="82" spans="1:7" ht="12.75">
      <c r="A82" s="137"/>
      <c r="B82" s="35"/>
      <c r="C82" s="135"/>
      <c r="D82" s="35"/>
      <c r="E82" s="35"/>
      <c r="F82" s="35"/>
      <c r="G82" s="133"/>
    </row>
    <row r="83" spans="1:7" ht="12.75">
      <c r="A83" s="134"/>
      <c r="B83" s="119" t="s">
        <v>191</v>
      </c>
      <c r="C83" s="135"/>
      <c r="D83" s="35"/>
      <c r="E83" s="35"/>
      <c r="F83" s="35"/>
      <c r="G83" s="133"/>
    </row>
    <row r="84" spans="1:14" ht="12.75">
      <c r="A84" s="134"/>
      <c r="B84" s="35"/>
      <c r="C84" s="135"/>
      <c r="D84" s="35"/>
      <c r="E84" s="35"/>
      <c r="F84" s="35"/>
      <c r="G84" s="133"/>
      <c r="J84" s="355"/>
      <c r="K84" s="35"/>
      <c r="L84" s="35"/>
      <c r="M84" s="35"/>
      <c r="N84" s="35"/>
    </row>
    <row r="85" spans="1:14" ht="13.5" thickBot="1">
      <c r="A85" s="502">
        <f>SUM(A76)</f>
        <v>2022</v>
      </c>
      <c r="B85" s="204">
        <f>SUM('Estado integral de resultados'!C28)</f>
        <v>854899884</v>
      </c>
      <c r="C85" s="504" t="s">
        <v>111</v>
      </c>
      <c r="D85" s="503">
        <f>+B85/B86</f>
        <v>0.8119903921986027</v>
      </c>
      <c r="E85" s="197"/>
      <c r="F85" s="197"/>
      <c r="G85" s="133"/>
      <c r="I85" s="346"/>
      <c r="J85" s="234"/>
      <c r="K85" s="234"/>
      <c r="L85" s="234"/>
      <c r="M85" s="234"/>
      <c r="N85" s="234"/>
    </row>
    <row r="86" spans="1:14" ht="12.75">
      <c r="A86" s="502"/>
      <c r="B86" s="203">
        <f>+B76</f>
        <v>1052844827</v>
      </c>
      <c r="C86" s="504"/>
      <c r="D86" s="503"/>
      <c r="E86" s="197"/>
      <c r="F86" s="197"/>
      <c r="G86" s="133"/>
      <c r="J86" s="234"/>
      <c r="K86" s="234"/>
      <c r="L86" s="234"/>
      <c r="M86" s="235"/>
      <c r="N86" s="234"/>
    </row>
    <row r="87" spans="1:14" ht="12.75">
      <c r="A87" s="134"/>
      <c r="B87" s="35"/>
      <c r="C87" s="135"/>
      <c r="D87" s="35"/>
      <c r="E87" s="35"/>
      <c r="F87" s="35"/>
      <c r="G87" s="133"/>
      <c r="J87" s="234"/>
      <c r="K87" s="234"/>
      <c r="L87" s="234"/>
      <c r="M87" s="234"/>
      <c r="N87" s="234"/>
    </row>
    <row r="88" spans="1:14" ht="13.5" thickBot="1">
      <c r="A88" s="139"/>
      <c r="B88" s="136"/>
      <c r="C88" s="142"/>
      <c r="D88" s="136"/>
      <c r="E88" s="136"/>
      <c r="F88" s="136"/>
      <c r="G88" s="141"/>
      <c r="J88" s="35"/>
      <c r="K88" s="35"/>
      <c r="L88" s="35"/>
      <c r="M88" s="35"/>
      <c r="N88" s="35"/>
    </row>
    <row r="89" spans="10:14" ht="12.75">
      <c r="J89" s="35"/>
      <c r="K89" s="35"/>
      <c r="L89" s="35"/>
      <c r="M89" s="35"/>
      <c r="N89" s="35"/>
    </row>
  </sheetData>
  <sheetProtection/>
  <mergeCells count="23">
    <mergeCell ref="C39:C40"/>
    <mergeCell ref="C42:C43"/>
    <mergeCell ref="A42:A43"/>
    <mergeCell ref="A3:G4"/>
    <mergeCell ref="A8:B9"/>
    <mergeCell ref="C8:C9"/>
    <mergeCell ref="A12:A13"/>
    <mergeCell ref="C12:C13"/>
    <mergeCell ref="D12:D13"/>
    <mergeCell ref="D42:D43"/>
    <mergeCell ref="A65:A66"/>
    <mergeCell ref="A57:A58"/>
    <mergeCell ref="D57:D58"/>
    <mergeCell ref="D65:D66"/>
    <mergeCell ref="C57:C58"/>
    <mergeCell ref="C65:C66"/>
    <mergeCell ref="A69:G70"/>
    <mergeCell ref="A76:A77"/>
    <mergeCell ref="D76:D77"/>
    <mergeCell ref="C76:C77"/>
    <mergeCell ref="C85:C86"/>
    <mergeCell ref="D85:D86"/>
    <mergeCell ref="A85:A86"/>
  </mergeCells>
  <printOptions horizontalCentered="1" verticalCentered="1"/>
  <pageMargins left="0.7086614173228347" right="0.7086614173228347" top="1.141732283464567" bottom="0.9448818897637796" header="0.31496062992125984" footer="0.31496062992125984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showGridLines="0" zoomScalePageLayoutView="0" workbookViewId="0" topLeftCell="A19">
      <selection activeCell="F32" sqref="F32"/>
    </sheetView>
  </sheetViews>
  <sheetFormatPr defaultColWidth="11.421875" defaultRowHeight="12.75"/>
  <cols>
    <col min="1" max="1" width="60.8515625" style="0" customWidth="1"/>
    <col min="2" max="2" width="3.28125" style="0" hidden="1" customWidth="1"/>
    <col min="3" max="3" width="11.421875" style="0" customWidth="1"/>
    <col min="4" max="4" width="28.57421875" style="0" customWidth="1"/>
    <col min="5" max="5" width="4.7109375" style="0" customWidth="1"/>
    <col min="6" max="6" width="27.28125" style="0" customWidth="1"/>
    <col min="8" max="8" width="28.7109375" style="0" customWidth="1"/>
    <col min="10" max="10" width="18.8515625" style="0" customWidth="1"/>
  </cols>
  <sheetData>
    <row r="1" spans="1:9" ht="27" customHeight="1" thickBot="1" thickTop="1">
      <c r="A1" s="514" t="s">
        <v>19</v>
      </c>
      <c r="B1" s="515"/>
      <c r="C1" s="515"/>
      <c r="D1" s="515"/>
      <c r="E1" s="515"/>
      <c r="F1" s="516"/>
      <c r="G1" s="119"/>
      <c r="H1" s="119"/>
      <c r="I1" s="155"/>
    </row>
    <row r="2" spans="1:9" ht="12.75">
      <c r="A2" s="517" t="s">
        <v>192</v>
      </c>
      <c r="B2" s="518"/>
      <c r="C2" s="518"/>
      <c r="D2" s="518"/>
      <c r="E2" s="518"/>
      <c r="F2" s="519"/>
      <c r="G2" s="119"/>
      <c r="H2" s="119"/>
      <c r="I2" s="155"/>
    </row>
    <row r="3" spans="1:9" ht="33" customHeight="1" thickBot="1">
      <c r="A3" s="520"/>
      <c r="B3" s="521"/>
      <c r="C3" s="521"/>
      <c r="D3" s="521"/>
      <c r="E3" s="521"/>
      <c r="F3" s="522"/>
      <c r="G3" s="119"/>
      <c r="H3" s="119"/>
      <c r="I3" s="155"/>
    </row>
    <row r="4" spans="1:9" ht="12.75">
      <c r="A4" s="118"/>
      <c r="B4" s="119"/>
      <c r="C4" s="119"/>
      <c r="D4" s="119"/>
      <c r="E4" s="119"/>
      <c r="F4" s="120"/>
      <c r="G4" s="119"/>
      <c r="H4" s="119"/>
      <c r="I4" s="155"/>
    </row>
    <row r="5" spans="1:9" ht="12.75">
      <c r="A5" s="118"/>
      <c r="B5" s="119"/>
      <c r="C5" s="119"/>
      <c r="D5" s="119"/>
      <c r="E5" s="119"/>
      <c r="F5" s="120"/>
      <c r="G5" s="119"/>
      <c r="H5" s="119"/>
      <c r="I5" s="155"/>
    </row>
    <row r="6" spans="1:9" ht="20.25">
      <c r="A6" s="163" t="s">
        <v>828</v>
      </c>
      <c r="B6" s="164"/>
      <c r="C6" s="164"/>
      <c r="D6" s="164"/>
      <c r="E6" s="164"/>
      <c r="F6" s="427">
        <f>SUM('Estado integral de resultados'!C30)</f>
        <v>197944943</v>
      </c>
      <c r="G6" s="119"/>
      <c r="H6" s="119"/>
      <c r="I6" s="155"/>
    </row>
    <row r="7" spans="1:9" ht="12.75">
      <c r="A7" s="118"/>
      <c r="B7" s="119"/>
      <c r="C7" s="119"/>
      <c r="D7" s="119"/>
      <c r="E7" s="119"/>
      <c r="F7" s="426"/>
      <c r="G7" s="119"/>
      <c r="H7" s="119"/>
      <c r="I7" s="155"/>
    </row>
    <row r="8" spans="1:9" ht="12.75">
      <c r="A8" s="118"/>
      <c r="B8" s="119"/>
      <c r="C8" s="119"/>
      <c r="D8" s="119"/>
      <c r="E8" s="119"/>
      <c r="F8" s="120"/>
      <c r="G8" s="119"/>
      <c r="H8" s="119"/>
      <c r="I8" s="155"/>
    </row>
    <row r="9" spans="1:9" ht="20.25">
      <c r="A9" s="422" t="s">
        <v>193</v>
      </c>
      <c r="B9" s="164"/>
      <c r="C9" s="423">
        <v>0.2</v>
      </c>
      <c r="D9" s="424">
        <f>SUM(F6*C9)</f>
        <v>39588988.6</v>
      </c>
      <c r="E9" s="164"/>
      <c r="F9" s="165"/>
      <c r="G9" s="119"/>
      <c r="H9" s="119"/>
      <c r="I9" s="155"/>
    </row>
    <row r="10" spans="1:10" ht="24" customHeight="1">
      <c r="A10" s="156"/>
      <c r="B10" s="119"/>
      <c r="C10" s="149"/>
      <c r="D10" s="190"/>
      <c r="E10" s="119"/>
      <c r="F10" s="120"/>
      <c r="G10" s="119"/>
      <c r="H10" s="119"/>
      <c r="I10" s="206"/>
      <c r="J10" s="207"/>
    </row>
    <row r="11" spans="1:9" ht="20.25">
      <c r="A11" s="422" t="s">
        <v>194</v>
      </c>
      <c r="B11" s="164"/>
      <c r="C11" s="423">
        <v>0.2</v>
      </c>
      <c r="D11" s="424">
        <f>SUM(F6*C11)</f>
        <v>39588988.6</v>
      </c>
      <c r="E11" s="164"/>
      <c r="F11" s="165"/>
      <c r="G11" s="119"/>
      <c r="H11" s="119"/>
      <c r="I11" s="155"/>
    </row>
    <row r="12" spans="1:9" ht="25.5" customHeight="1">
      <c r="A12" s="156"/>
      <c r="B12" s="119"/>
      <c r="C12" s="149"/>
      <c r="D12" s="190"/>
      <c r="E12" s="119"/>
      <c r="F12" s="120"/>
      <c r="G12" s="119"/>
      <c r="H12" s="119"/>
      <c r="I12" s="155"/>
    </row>
    <row r="13" spans="1:9" ht="20.25">
      <c r="A13" s="422" t="s">
        <v>126</v>
      </c>
      <c r="B13" s="164"/>
      <c r="C13" s="423">
        <v>0.1</v>
      </c>
      <c r="D13" s="424">
        <f>SUM(F6*C13)</f>
        <v>19794494.3</v>
      </c>
      <c r="E13" s="164"/>
      <c r="F13" s="165"/>
      <c r="G13" s="119"/>
      <c r="H13" s="119"/>
      <c r="I13" s="155"/>
    </row>
    <row r="14" spans="1:9" ht="25.5" customHeight="1">
      <c r="A14" s="156"/>
      <c r="B14" s="119"/>
      <c r="C14" s="149"/>
      <c r="D14" s="119"/>
      <c r="E14" s="119"/>
      <c r="F14" s="120"/>
      <c r="G14" s="119"/>
      <c r="H14" s="119"/>
      <c r="I14" s="155"/>
    </row>
    <row r="15" spans="1:10" ht="20.25">
      <c r="A15" s="422" t="s">
        <v>645</v>
      </c>
      <c r="B15" s="164"/>
      <c r="C15" s="423">
        <v>0.5</v>
      </c>
      <c r="D15" s="425">
        <f>SUM(F6*C15)</f>
        <v>98972471.5</v>
      </c>
      <c r="E15" s="164"/>
      <c r="F15" s="165"/>
      <c r="G15" s="208"/>
      <c r="H15" s="119"/>
      <c r="I15" s="205"/>
      <c r="J15" s="207"/>
    </row>
    <row r="16" spans="1:9" ht="15.75">
      <c r="A16" s="185"/>
      <c r="B16" s="119"/>
      <c r="C16" s="119"/>
      <c r="D16" s="119"/>
      <c r="E16" s="119"/>
      <c r="F16" s="120"/>
      <c r="G16" s="119"/>
      <c r="H16" s="119"/>
      <c r="I16" s="155"/>
    </row>
    <row r="17" spans="1:9" ht="15.75">
      <c r="A17" s="156"/>
      <c r="B17" s="119"/>
      <c r="C17" s="119"/>
      <c r="D17" s="119"/>
      <c r="E17" s="119"/>
      <c r="F17" s="120"/>
      <c r="G17" s="119"/>
      <c r="H17" s="119"/>
      <c r="I17" s="155"/>
    </row>
    <row r="18" spans="1:9" ht="20.25">
      <c r="A18" s="420" t="s">
        <v>127</v>
      </c>
      <c r="B18" s="188"/>
      <c r="C18" s="421"/>
      <c r="D18" s="428">
        <f>SUM(D6:D17)</f>
        <v>197944943</v>
      </c>
      <c r="E18" s="164"/>
      <c r="F18" s="427">
        <f>SUM(F6:F17)</f>
        <v>197944943</v>
      </c>
      <c r="G18" s="119"/>
      <c r="H18" s="119"/>
      <c r="I18" s="155"/>
    </row>
    <row r="19" spans="1:9" ht="12.75">
      <c r="A19" s="118"/>
      <c r="B19" s="119"/>
      <c r="C19" s="119"/>
      <c r="D19" s="119"/>
      <c r="E19" s="119"/>
      <c r="F19" s="426"/>
      <c r="G19" s="119"/>
      <c r="H19" s="119"/>
      <c r="I19" s="155"/>
    </row>
    <row r="20" spans="1:9" ht="13.5" thickBot="1">
      <c r="A20" s="118"/>
      <c r="B20" s="119"/>
      <c r="C20" s="119"/>
      <c r="D20" s="119"/>
      <c r="E20" s="119"/>
      <c r="F20" s="120"/>
      <c r="G20" s="119"/>
      <c r="H20" s="119"/>
      <c r="I20" s="155"/>
    </row>
    <row r="21" spans="1:9" ht="12.75">
      <c r="A21" s="523" t="s">
        <v>757</v>
      </c>
      <c r="B21" s="524"/>
      <c r="C21" s="524"/>
      <c r="D21" s="524"/>
      <c r="E21" s="524"/>
      <c r="F21" s="525"/>
      <c r="G21" s="119"/>
      <c r="H21" s="119"/>
      <c r="I21" s="155"/>
    </row>
    <row r="22" spans="1:9" ht="12.75">
      <c r="A22" s="526"/>
      <c r="B22" s="527"/>
      <c r="C22" s="527"/>
      <c r="D22" s="527"/>
      <c r="E22" s="527"/>
      <c r="F22" s="528"/>
      <c r="G22" s="119"/>
      <c r="H22" s="119"/>
      <c r="I22" s="155"/>
    </row>
    <row r="23" spans="1:9" ht="13.5" thickBot="1">
      <c r="A23" s="529"/>
      <c r="B23" s="530"/>
      <c r="C23" s="530"/>
      <c r="D23" s="530"/>
      <c r="E23" s="530"/>
      <c r="F23" s="531"/>
      <c r="G23" s="119"/>
      <c r="H23" s="119"/>
      <c r="I23" s="155"/>
    </row>
    <row r="24" spans="1:9" ht="12.75">
      <c r="A24" s="118"/>
      <c r="B24" s="119"/>
      <c r="C24" s="119"/>
      <c r="D24" s="119"/>
      <c r="E24" s="119"/>
      <c r="F24" s="120"/>
      <c r="G24" s="119"/>
      <c r="H24" s="119"/>
      <c r="I24" s="155"/>
    </row>
    <row r="25" spans="1:9" ht="13.5" thickBot="1">
      <c r="A25" s="157"/>
      <c r="B25" s="158"/>
      <c r="C25" s="158"/>
      <c r="D25" s="158"/>
      <c r="E25" s="158"/>
      <c r="F25" s="159"/>
      <c r="G25" s="119"/>
      <c r="H25" s="119"/>
      <c r="I25" s="155"/>
    </row>
    <row r="26" spans="1:9" ht="13.5" thickTop="1">
      <c r="A26" s="119"/>
      <c r="B26" s="119"/>
      <c r="C26" s="119"/>
      <c r="D26" s="119"/>
      <c r="E26" s="119"/>
      <c r="F26" s="119"/>
      <c r="G26" s="119"/>
      <c r="H26" s="119"/>
      <c r="I26" s="155"/>
    </row>
    <row r="27" spans="1:9" ht="12.75">
      <c r="A27" s="119"/>
      <c r="B27" s="119"/>
      <c r="C27" s="119"/>
      <c r="D27" s="119"/>
      <c r="E27" s="119"/>
      <c r="F27" s="119"/>
      <c r="G27" s="119"/>
      <c r="H27" s="119"/>
      <c r="I27" s="155"/>
    </row>
    <row r="28" spans="1:9" ht="12.75">
      <c r="A28" s="119"/>
      <c r="B28" s="119"/>
      <c r="C28" s="119"/>
      <c r="D28" s="119"/>
      <c r="E28" s="119"/>
      <c r="F28" s="119" t="s">
        <v>829</v>
      </c>
      <c r="G28" s="119"/>
      <c r="H28" s="119"/>
      <c r="I28" s="155"/>
    </row>
    <row r="29" spans="1:9" ht="20.25">
      <c r="A29" s="220" t="s">
        <v>195</v>
      </c>
      <c r="B29" s="119"/>
      <c r="C29" s="119"/>
      <c r="D29" s="191">
        <f>SUM(D15)</f>
        <v>98972471.5</v>
      </c>
      <c r="E29" s="119"/>
      <c r="F29" s="191">
        <f>+'Estado de Situación Financiera'!D83</f>
        <v>6823791274</v>
      </c>
      <c r="G29" s="119"/>
      <c r="H29" s="432"/>
      <c r="I29" s="155"/>
    </row>
    <row r="30" spans="1:9" ht="12.75">
      <c r="A30" s="119"/>
      <c r="B30" s="119"/>
      <c r="C30" s="119"/>
      <c r="D30" s="119"/>
      <c r="E30" s="119"/>
      <c r="F30" s="119"/>
      <c r="G30" s="119"/>
      <c r="H30" s="119"/>
      <c r="I30" s="155"/>
    </row>
    <row r="31" spans="2:9" ht="20.25">
      <c r="B31" s="119"/>
      <c r="C31" s="119"/>
      <c r="D31" s="433"/>
      <c r="E31" s="119"/>
      <c r="F31" s="119"/>
      <c r="G31" s="119"/>
      <c r="H31" s="119"/>
      <c r="I31" s="155"/>
    </row>
    <row r="32" spans="2:9" ht="12.75">
      <c r="B32" s="119"/>
      <c r="C32" s="119"/>
      <c r="D32" s="187" t="s">
        <v>196</v>
      </c>
      <c r="E32" s="188"/>
      <c r="F32" s="189">
        <f>SUM(D29*100/F29)</f>
        <v>1.4504029728620917</v>
      </c>
      <c r="G32" s="119"/>
      <c r="H32" s="119"/>
      <c r="I32" s="155"/>
    </row>
    <row r="33" spans="1:9" ht="20.25">
      <c r="A33" s="186"/>
      <c r="B33" s="119"/>
      <c r="C33" s="119"/>
      <c r="D33" s="152"/>
      <c r="E33" s="119"/>
      <c r="F33" s="119"/>
      <c r="G33" s="119"/>
      <c r="H33" s="119"/>
      <c r="I33" s="155"/>
    </row>
    <row r="34" spans="1:9" ht="12.75">
      <c r="A34" s="119"/>
      <c r="B34" s="119"/>
      <c r="C34" s="119"/>
      <c r="D34" s="119"/>
      <c r="E34" s="119"/>
      <c r="F34" s="119"/>
      <c r="G34" s="119"/>
      <c r="H34" s="119"/>
      <c r="I34" s="155"/>
    </row>
    <row r="35" spans="1:9" ht="14.25">
      <c r="A35" s="226"/>
      <c r="B35" s="119"/>
      <c r="C35" s="119"/>
      <c r="D35" s="119"/>
      <c r="E35" s="119"/>
      <c r="F35" s="184" t="s">
        <v>0</v>
      </c>
      <c r="G35" s="119"/>
      <c r="H35" s="119"/>
      <c r="I35" s="155"/>
    </row>
    <row r="36" spans="1:9" ht="12.75">
      <c r="A36" s="119"/>
      <c r="B36" s="119"/>
      <c r="C36" s="119"/>
      <c r="D36" s="119"/>
      <c r="E36" s="119"/>
      <c r="F36" s="119"/>
      <c r="G36" s="119"/>
      <c r="H36" s="119"/>
      <c r="I36" s="155"/>
    </row>
    <row r="37" spans="1:9" ht="12.75">
      <c r="A37" s="119"/>
      <c r="B37" s="119"/>
      <c r="C37" s="119"/>
      <c r="D37" s="119"/>
      <c r="E37" s="119"/>
      <c r="F37" s="119"/>
      <c r="G37" s="119"/>
      <c r="H37" s="119"/>
      <c r="I37" s="155"/>
    </row>
  </sheetData>
  <sheetProtection/>
  <mergeCells count="3">
    <mergeCell ref="A1:F1"/>
    <mergeCell ref="A2:F3"/>
    <mergeCell ref="A21:F23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6:U135"/>
  <sheetViews>
    <sheetView showGridLines="0" zoomScalePageLayoutView="0" workbookViewId="0" topLeftCell="E115">
      <selection activeCell="E139" sqref="E139"/>
    </sheetView>
  </sheetViews>
  <sheetFormatPr defaultColWidth="11.421875" defaultRowHeight="12.75"/>
  <cols>
    <col min="1" max="1" width="0.42578125" style="0" hidden="1" customWidth="1"/>
    <col min="2" max="2" width="26.421875" style="0" hidden="1" customWidth="1"/>
    <col min="3" max="4" width="0.2890625" style="0" hidden="1" customWidth="1"/>
    <col min="5" max="5" width="35.00390625" style="0" customWidth="1"/>
    <col min="6" max="6" width="37.8515625" style="0" customWidth="1"/>
    <col min="7" max="7" width="8.00390625" style="0" bestFit="1" customWidth="1"/>
    <col min="21" max="21" width="29.140625" style="0" customWidth="1"/>
  </cols>
  <sheetData>
    <row r="6" ht="12.75">
      <c r="E6" s="127">
        <v>2022</v>
      </c>
    </row>
    <row r="7" ht="12.75">
      <c r="U7" s="168"/>
    </row>
    <row r="8" spans="1:21" ht="12.75">
      <c r="A8" s="50" t="s">
        <v>2</v>
      </c>
      <c r="B8" s="32"/>
      <c r="C8" s="6"/>
      <c r="D8" s="6"/>
      <c r="E8" s="127" t="s">
        <v>104</v>
      </c>
      <c r="F8" s="127" t="s">
        <v>200</v>
      </c>
      <c r="G8" s="211" t="s">
        <v>48</v>
      </c>
      <c r="U8" s="168"/>
    </row>
    <row r="9" spans="1:21" ht="12.75">
      <c r="A9" s="43" t="s">
        <v>20</v>
      </c>
      <c r="B9" s="33" t="s">
        <v>0</v>
      </c>
      <c r="C9" s="71">
        <v>270206093.65</v>
      </c>
      <c r="D9" s="71"/>
      <c r="E9" s="22" t="s">
        <v>642</v>
      </c>
      <c r="F9" s="180">
        <f>+'BCE DIC 2022'!F3</f>
        <v>1583355184.58</v>
      </c>
      <c r="G9" s="227">
        <f>SUM(F9/$F$15)</f>
        <v>0.18862346776217653</v>
      </c>
      <c r="P9" s="161"/>
      <c r="U9" s="168"/>
    </row>
    <row r="10" spans="1:21" ht="12.75">
      <c r="A10" s="50" t="s">
        <v>21</v>
      </c>
      <c r="B10" s="86">
        <v>3</v>
      </c>
      <c r="C10" s="72">
        <f>SUM(C9)</f>
        <v>270206093.65</v>
      </c>
      <c r="D10" s="73"/>
      <c r="E10" s="22" t="s">
        <v>201</v>
      </c>
      <c r="F10" s="180">
        <f>+'BCE DIC 2022'!F32</f>
        <v>6229354008.83</v>
      </c>
      <c r="G10" s="227">
        <f>SUM(F10/$F$15)</f>
        <v>0.7420965090504386</v>
      </c>
      <c r="P10" s="161"/>
      <c r="U10" s="168"/>
    </row>
    <row r="11" spans="1:21" ht="13.5" customHeight="1">
      <c r="A11" s="43" t="s">
        <v>22</v>
      </c>
      <c r="B11" s="33" t="s">
        <v>0</v>
      </c>
      <c r="C11" s="71">
        <v>4725901317</v>
      </c>
      <c r="D11" s="71"/>
      <c r="E11" s="22" t="s">
        <v>151</v>
      </c>
      <c r="F11" s="180">
        <f>+'BCE DIC 2022'!F111</f>
        <v>0</v>
      </c>
      <c r="G11" s="227">
        <f>SUM(F11/$F$15)</f>
        <v>0</v>
      </c>
      <c r="P11" s="161"/>
      <c r="U11" s="168"/>
    </row>
    <row r="12" spans="1:21" ht="12.75">
      <c r="A12" s="43" t="s">
        <v>23</v>
      </c>
      <c r="B12" s="33" t="s">
        <v>0</v>
      </c>
      <c r="C12" s="76">
        <v>-71104198.45</v>
      </c>
      <c r="D12" s="76"/>
      <c r="E12" s="22" t="s">
        <v>700</v>
      </c>
      <c r="F12" s="180">
        <f>+'BCE DIC 2022'!F27</f>
        <v>42169569</v>
      </c>
      <c r="G12" s="227">
        <f>SUM(F12/$F$15)</f>
        <v>0.00502361719990597</v>
      </c>
      <c r="P12" s="161"/>
      <c r="U12" s="168"/>
    </row>
    <row r="13" spans="1:21" ht="15.75" customHeight="1">
      <c r="A13" s="43" t="s">
        <v>24</v>
      </c>
      <c r="B13" s="32"/>
      <c r="C13" s="76">
        <v>-4944574</v>
      </c>
      <c r="D13" s="76"/>
      <c r="E13" s="22" t="s">
        <v>202</v>
      </c>
      <c r="F13" s="180">
        <f>+'BCE DIC 2022'!F121</f>
        <v>539385235.41</v>
      </c>
      <c r="G13" s="227">
        <f>SUM(F13/$F$15)</f>
        <v>0.06425640598747895</v>
      </c>
      <c r="P13" s="161"/>
      <c r="U13" s="168"/>
    </row>
    <row r="14" spans="1:21" ht="15" customHeight="1" hidden="1">
      <c r="A14" s="50" t="s">
        <v>25</v>
      </c>
      <c r="B14" s="86">
        <v>4</v>
      </c>
      <c r="C14" s="72">
        <f>SUM(C11:C13)</f>
        <v>4649852544.55</v>
      </c>
      <c r="D14" s="73"/>
      <c r="E14" s="22" t="s">
        <v>142</v>
      </c>
      <c r="F14" s="180">
        <v>0</v>
      </c>
      <c r="G14" s="228" t="e">
        <f>SUM(F14/F20)</f>
        <v>#DIV/0!</v>
      </c>
      <c r="P14" s="161">
        <f>SUM(F14/$F$15)*100</f>
        <v>0</v>
      </c>
      <c r="U14" s="168"/>
    </row>
    <row r="15" spans="1:21" ht="12.75">
      <c r="A15" s="43" t="s">
        <v>26</v>
      </c>
      <c r="B15" s="32"/>
      <c r="C15" s="73"/>
      <c r="D15" s="73"/>
      <c r="E15" s="127" t="s">
        <v>99</v>
      </c>
      <c r="F15" s="229">
        <f>SUM(F9:F14)</f>
        <v>8394263997.82</v>
      </c>
      <c r="G15" s="233">
        <f>SUM(G9:G13)</f>
        <v>1</v>
      </c>
      <c r="U15" s="168"/>
    </row>
    <row r="16" spans="1:21" ht="12.75">
      <c r="A16" s="43" t="s">
        <v>27</v>
      </c>
      <c r="B16" s="33" t="s">
        <v>0</v>
      </c>
      <c r="C16" s="71">
        <f>1238963+1390994</f>
        <v>2629957</v>
      </c>
      <c r="D16" s="71"/>
      <c r="F16" s="71"/>
      <c r="U16" s="168"/>
    </row>
    <row r="17" spans="1:21" ht="12.75">
      <c r="A17" s="50" t="s">
        <v>28</v>
      </c>
      <c r="B17" s="86">
        <v>5</v>
      </c>
      <c r="C17" s="72">
        <f>SUM(C15:C16)</f>
        <v>2629957</v>
      </c>
      <c r="D17" s="73"/>
      <c r="U17" s="168"/>
    </row>
    <row r="18" spans="1:21" ht="12.75">
      <c r="A18" s="50" t="s">
        <v>13</v>
      </c>
      <c r="B18" s="33"/>
      <c r="C18" s="72">
        <f>SUM(C17,C14,C10)</f>
        <v>4922688595.2</v>
      </c>
      <c r="D18" s="73"/>
      <c r="E18" s="117" t="s">
        <v>0</v>
      </c>
      <c r="F18" s="380"/>
      <c r="U18" s="168"/>
    </row>
    <row r="19" spans="1:21" ht="12.75">
      <c r="A19" s="50"/>
      <c r="B19" s="33"/>
      <c r="C19" s="73"/>
      <c r="D19" s="73"/>
      <c r="E19" s="124"/>
      <c r="F19" s="123"/>
      <c r="U19" s="168"/>
    </row>
    <row r="20" spans="1:21" ht="12.75">
      <c r="A20" s="43" t="s">
        <v>29</v>
      </c>
      <c r="B20" s="33"/>
      <c r="C20" s="71">
        <v>8237448</v>
      </c>
      <c r="D20" s="71"/>
      <c r="E20" s="124"/>
      <c r="F20" s="123"/>
      <c r="U20" s="168"/>
    </row>
    <row r="21" spans="1:21" ht="12.75">
      <c r="A21" s="77" t="s">
        <v>30</v>
      </c>
      <c r="B21" s="86">
        <v>6</v>
      </c>
      <c r="C21" s="72">
        <f>SUM(C20)</f>
        <v>8237448</v>
      </c>
      <c r="D21" s="73"/>
      <c r="E21" s="124"/>
      <c r="F21" s="123"/>
      <c r="U21" s="168"/>
    </row>
    <row r="22" spans="1:21" ht="12.75">
      <c r="A22" s="50" t="s">
        <v>31</v>
      </c>
      <c r="B22" s="33"/>
      <c r="C22" s="73" t="s">
        <v>0</v>
      </c>
      <c r="D22" s="73"/>
      <c r="U22" s="168"/>
    </row>
    <row r="23" spans="1:21" ht="12.75">
      <c r="A23" s="43" t="s">
        <v>32</v>
      </c>
      <c r="B23" s="32"/>
      <c r="C23" s="71">
        <v>11813386</v>
      </c>
      <c r="D23" s="71"/>
      <c r="U23" s="168"/>
    </row>
    <row r="24" spans="1:21" ht="12.75">
      <c r="A24" s="43" t="s">
        <v>33</v>
      </c>
      <c r="B24" s="32"/>
      <c r="C24" s="71">
        <f>90274136</f>
        <v>90274136</v>
      </c>
      <c r="D24" s="71"/>
      <c r="U24" s="168"/>
    </row>
    <row r="25" spans="1:21" ht="12.75">
      <c r="A25" s="43" t="s">
        <v>34</v>
      </c>
      <c r="B25" s="32"/>
      <c r="C25" s="76">
        <v>-45000000</v>
      </c>
      <c r="D25" s="76"/>
      <c r="U25" s="168"/>
    </row>
    <row r="26" spans="1:21" ht="12.75">
      <c r="A26" s="50" t="s">
        <v>35</v>
      </c>
      <c r="B26" s="86">
        <v>7</v>
      </c>
      <c r="C26" s="72">
        <f>SUM(C23:C25)</f>
        <v>57087522</v>
      </c>
      <c r="D26" s="73"/>
      <c r="U26" s="168"/>
    </row>
    <row r="27" spans="1:21" ht="12.75">
      <c r="A27" s="50"/>
      <c r="B27" s="32"/>
      <c r="C27" s="74"/>
      <c r="D27" s="74"/>
      <c r="U27" s="168"/>
    </row>
    <row r="28" spans="1:21" ht="12.75">
      <c r="A28" s="50" t="s">
        <v>36</v>
      </c>
      <c r="B28" s="32"/>
      <c r="C28" s="72">
        <f>SUM(C21+C26)</f>
        <v>65324970</v>
      </c>
      <c r="D28" s="73"/>
      <c r="U28" s="168"/>
    </row>
    <row r="29" spans="1:21" ht="12.75">
      <c r="A29" s="50"/>
      <c r="B29" s="32"/>
      <c r="C29" s="74"/>
      <c r="D29" s="74"/>
      <c r="U29" s="168"/>
    </row>
    <row r="30" spans="1:21" ht="12.75">
      <c r="A30" s="50" t="s">
        <v>37</v>
      </c>
      <c r="B30" s="32"/>
      <c r="C30" s="74"/>
      <c r="D30" s="74"/>
      <c r="E30" s="127" t="s">
        <v>104</v>
      </c>
      <c r="F30" s="127" t="s">
        <v>198</v>
      </c>
      <c r="G30" s="127" t="s">
        <v>48</v>
      </c>
      <c r="P30" s="161"/>
      <c r="U30" s="168"/>
    </row>
    <row r="31" spans="1:21" ht="12.75">
      <c r="A31" s="43" t="s">
        <v>38</v>
      </c>
      <c r="B31" s="33" t="s">
        <v>0</v>
      </c>
      <c r="C31" s="71">
        <v>63159000</v>
      </c>
      <c r="D31" s="71"/>
      <c r="E31" s="169" t="s">
        <v>140</v>
      </c>
      <c r="F31" s="180">
        <f>+'Estado de Situación Financiera'!D70</f>
        <v>73141794.19999999</v>
      </c>
      <c r="G31" s="227">
        <f>SUM(F31)/$F$34</f>
        <v>0.5188548812713999</v>
      </c>
      <c r="P31" s="161"/>
      <c r="U31" s="168"/>
    </row>
    <row r="32" spans="1:21" ht="12.75">
      <c r="A32" s="38" t="s">
        <v>39</v>
      </c>
      <c r="B32" s="33" t="s">
        <v>0</v>
      </c>
      <c r="C32" s="71">
        <v>126901000</v>
      </c>
      <c r="D32" s="71"/>
      <c r="E32" s="169" t="s">
        <v>203</v>
      </c>
      <c r="F32" s="180">
        <f>+'Estado de Situación Financiera'!D73</f>
        <v>17099250.62</v>
      </c>
      <c r="G32" s="227">
        <f>SUM(F32)/$F$34</f>
        <v>0.12129904314365332</v>
      </c>
      <c r="P32" s="161"/>
      <c r="U32" s="168"/>
    </row>
    <row r="33" spans="1:21" ht="12.75">
      <c r="A33" s="38" t="s">
        <v>40</v>
      </c>
      <c r="B33" s="33" t="s">
        <v>0</v>
      </c>
      <c r="C33" s="71">
        <v>13327074</v>
      </c>
      <c r="D33" s="71"/>
      <c r="E33" s="169" t="s">
        <v>204</v>
      </c>
      <c r="F33" s="180">
        <f>+'Estado de Situación Financiera'!D80</f>
        <v>50726684</v>
      </c>
      <c r="G33" s="227">
        <f>SUM(F33)/$F$34</f>
        <v>0.3598460755849468</v>
      </c>
      <c r="P33" s="161"/>
      <c r="U33" s="168"/>
    </row>
    <row r="34" spans="1:21" ht="12.75">
      <c r="A34" s="38" t="s">
        <v>41</v>
      </c>
      <c r="B34" s="33" t="s">
        <v>0</v>
      </c>
      <c r="C34" s="71">
        <v>36989924</v>
      </c>
      <c r="D34" s="71"/>
      <c r="E34" s="232" t="s">
        <v>199</v>
      </c>
      <c r="F34" s="229">
        <f>SUM(F27:F33)</f>
        <v>140967728.82</v>
      </c>
      <c r="G34" s="230">
        <f>SUM(G31:G33)</f>
        <v>1</v>
      </c>
      <c r="U34" s="168"/>
    </row>
    <row r="35" spans="1:21" ht="12.75">
      <c r="A35" s="38" t="s">
        <v>42</v>
      </c>
      <c r="B35" s="33" t="s">
        <v>0</v>
      </c>
      <c r="C35" s="76">
        <v>-126274039.79</v>
      </c>
      <c r="D35" s="76"/>
      <c r="F35" s="346"/>
      <c r="U35" s="168"/>
    </row>
    <row r="36" spans="1:21" ht="12.75">
      <c r="A36" s="50" t="s">
        <v>43</v>
      </c>
      <c r="B36" s="86">
        <v>8</v>
      </c>
      <c r="C36" s="72">
        <f>SUM(C31:C35)</f>
        <v>114102958.21</v>
      </c>
      <c r="D36" s="73"/>
      <c r="U36" s="168"/>
    </row>
    <row r="37" spans="1:21" ht="12.75">
      <c r="A37" s="55"/>
      <c r="B37" s="32"/>
      <c r="C37" s="73"/>
      <c r="D37" s="73"/>
      <c r="U37" s="168"/>
    </row>
    <row r="38" spans="1:21" ht="12.75">
      <c r="A38" s="36" t="s">
        <v>44</v>
      </c>
      <c r="B38" s="32"/>
      <c r="C38" s="74"/>
      <c r="D38" s="74"/>
      <c r="U38" s="168"/>
    </row>
    <row r="39" spans="1:21" ht="12.75">
      <c r="A39" s="38" t="s">
        <v>45</v>
      </c>
      <c r="B39" s="86">
        <v>9</v>
      </c>
      <c r="C39" s="71">
        <v>483290719</v>
      </c>
      <c r="D39" s="71"/>
      <c r="U39" s="168"/>
    </row>
    <row r="40" spans="1:4" ht="12.75">
      <c r="A40" s="36" t="s">
        <v>16</v>
      </c>
      <c r="B40" s="32"/>
      <c r="C40" s="72">
        <f>SUM(C39)</f>
        <v>483290719</v>
      </c>
      <c r="D40" s="73"/>
    </row>
    <row r="41" spans="1:4" ht="13.5" thickBot="1">
      <c r="A41" s="36" t="s">
        <v>46</v>
      </c>
      <c r="B41" s="33" t="s">
        <v>0</v>
      </c>
      <c r="C41" s="75">
        <f>SUM(C18+C28+C36+C40)</f>
        <v>5585407242.41</v>
      </c>
      <c r="D41" s="73"/>
    </row>
    <row r="42" spans="1:4" ht="13.5" thickTop="1">
      <c r="A42" s="38" t="s">
        <v>47</v>
      </c>
      <c r="B42" s="34"/>
      <c r="C42" s="71">
        <f>500*644350</f>
        <v>322175000</v>
      </c>
      <c r="D42" s="71"/>
    </row>
    <row r="47" ht="12.75">
      <c r="A47" s="50" t="s">
        <v>50</v>
      </c>
    </row>
    <row r="48" ht="12.75">
      <c r="A48" s="38"/>
    </row>
    <row r="49" ht="12.75">
      <c r="A49" s="50" t="s">
        <v>51</v>
      </c>
    </row>
    <row r="50" spans="1:7" ht="12.75">
      <c r="A50" s="43" t="s">
        <v>52</v>
      </c>
      <c r="B50" s="71">
        <v>1908219</v>
      </c>
      <c r="E50" s="127" t="s">
        <v>104</v>
      </c>
      <c r="F50" s="127" t="s">
        <v>197</v>
      </c>
      <c r="G50" s="127" t="s">
        <v>48</v>
      </c>
    </row>
    <row r="51" spans="1:16" ht="12.75">
      <c r="A51" s="43" t="s">
        <v>53</v>
      </c>
      <c r="B51" s="71">
        <f>84204+1022753+1492000</f>
        <v>2598957</v>
      </c>
      <c r="E51" s="22" t="s">
        <v>205</v>
      </c>
      <c r="F51" s="180">
        <f>+'BCE DIC 2022'!F211</f>
        <v>6823791273.67</v>
      </c>
      <c r="G51" s="227">
        <f>SUM(F51/$F$59)</f>
        <v>0.8267958705362181</v>
      </c>
      <c r="P51" s="161"/>
    </row>
    <row r="52" spans="1:16" ht="12.75">
      <c r="A52" s="43" t="s">
        <v>54</v>
      </c>
      <c r="B52" s="71">
        <v>32534017.46</v>
      </c>
      <c r="E52" s="22" t="s">
        <v>166</v>
      </c>
      <c r="F52" s="180">
        <f>+'BCE DIC 2022'!F216</f>
        <v>475853580.35</v>
      </c>
      <c r="G52" s="227">
        <f aca="true" t="shared" si="0" ref="G52:G58">SUM(F52/$F$59)</f>
        <v>0.05765618545973729</v>
      </c>
      <c r="P52" s="161"/>
    </row>
    <row r="53" spans="1:16" ht="12.75">
      <c r="A53" s="43" t="s">
        <v>55</v>
      </c>
      <c r="B53" s="76">
        <f>4308294+2747839</f>
        <v>7056133</v>
      </c>
      <c r="E53" s="22" t="s">
        <v>206</v>
      </c>
      <c r="F53" s="180">
        <f>+'BCE DIC 2022'!F219</f>
        <v>23533290.6</v>
      </c>
      <c r="G53" s="227">
        <f t="shared" si="0"/>
        <v>0.002851380809856488</v>
      </c>
      <c r="P53" s="161"/>
    </row>
    <row r="54" spans="1:16" ht="12.75">
      <c r="A54" s="50" t="s">
        <v>56</v>
      </c>
      <c r="B54" s="72">
        <f>SUM(B50:B53)</f>
        <v>44097326.46</v>
      </c>
      <c r="E54" s="22" t="s">
        <v>207</v>
      </c>
      <c r="F54" s="180">
        <f>+'BCE DIC 2022'!F224</f>
        <v>10977610.85</v>
      </c>
      <c r="G54" s="227">
        <f t="shared" si="0"/>
        <v>0.0013300880632376318</v>
      </c>
      <c r="P54" s="161"/>
    </row>
    <row r="55" spans="1:16" ht="12.75">
      <c r="A55" s="50"/>
      <c r="B55" s="73"/>
      <c r="E55" s="22" t="s">
        <v>208</v>
      </c>
      <c r="F55" s="180">
        <f>+'BCE DIC 2022'!F225</f>
        <v>241759588</v>
      </c>
      <c r="G55" s="227">
        <f t="shared" si="0"/>
        <v>0.029292488736021083</v>
      </c>
      <c r="P55" s="161"/>
    </row>
    <row r="56" spans="1:16" ht="12.75">
      <c r="A56" s="50" t="s">
        <v>57</v>
      </c>
      <c r="B56" s="73"/>
      <c r="E56" s="22" t="s">
        <v>209</v>
      </c>
      <c r="F56" s="180">
        <f>+'BCE DIC 2022'!F221</f>
        <v>14745982.71</v>
      </c>
      <c r="G56" s="227">
        <f t="shared" si="0"/>
        <v>0.001786677980416796</v>
      </c>
      <c r="P56" s="161"/>
    </row>
    <row r="57" spans="1:16" ht="12.75">
      <c r="A57" s="43" t="s">
        <v>58</v>
      </c>
      <c r="B57" s="71">
        <v>21965135.77</v>
      </c>
      <c r="E57" s="22" t="s">
        <v>45</v>
      </c>
      <c r="F57" s="180">
        <f>+'BCE DIC 2022'!F229</f>
        <v>464690000</v>
      </c>
      <c r="G57" s="227">
        <f t="shared" si="0"/>
        <v>0.05630356464183599</v>
      </c>
      <c r="P57" s="161"/>
    </row>
    <row r="58" spans="1:16" ht="12.75">
      <c r="A58" s="43" t="s">
        <v>59</v>
      </c>
      <c r="B58" s="71">
        <v>0</v>
      </c>
      <c r="E58" s="22" t="s">
        <v>210</v>
      </c>
      <c r="F58" s="180">
        <f>+'Estado de Situación Financiera'!D86</f>
        <v>197944943</v>
      </c>
      <c r="G58" s="227">
        <f t="shared" si="0"/>
        <v>0.023983743772676494</v>
      </c>
      <c r="P58" s="161"/>
    </row>
    <row r="59" spans="1:7" ht="12.75">
      <c r="A59" s="50" t="s">
        <v>60</v>
      </c>
      <c r="B59" s="85">
        <v>2029348.68</v>
      </c>
      <c r="E59" s="127" t="s">
        <v>3</v>
      </c>
      <c r="F59" s="231">
        <f>SUM(F51:F58)</f>
        <v>8253296269.180001</v>
      </c>
      <c r="G59" s="230">
        <f>SUM(G51:G58)</f>
        <v>0.9999999999999998</v>
      </c>
    </row>
    <row r="60" spans="1:6" ht="12.75">
      <c r="A60" s="43" t="s">
        <v>0</v>
      </c>
      <c r="B60" s="72">
        <f>SUM(B57:B59)</f>
        <v>23994484.45</v>
      </c>
      <c r="F60" s="346"/>
    </row>
    <row r="61" spans="1:6" ht="12.75">
      <c r="A61" s="50" t="s">
        <v>61</v>
      </c>
      <c r="B61" s="73" t="s">
        <v>0</v>
      </c>
      <c r="F61" s="346"/>
    </row>
    <row r="62" spans="1:2" ht="12.75">
      <c r="A62" s="43" t="s">
        <v>64</v>
      </c>
      <c r="B62" s="73" t="s">
        <v>0</v>
      </c>
    </row>
    <row r="63" spans="1:2" ht="12.75">
      <c r="A63" s="43" t="s">
        <v>62</v>
      </c>
      <c r="B63" s="71">
        <v>9765275</v>
      </c>
    </row>
    <row r="64" spans="1:2" ht="12.75">
      <c r="A64" s="43" t="s">
        <v>63</v>
      </c>
      <c r="B64" s="71">
        <v>0</v>
      </c>
    </row>
    <row r="65" spans="1:2" ht="12.75">
      <c r="A65" s="50" t="s">
        <v>71</v>
      </c>
      <c r="B65" s="71">
        <v>5507562</v>
      </c>
    </row>
    <row r="66" spans="1:2" ht="12.75">
      <c r="A66" s="50" t="s">
        <v>72</v>
      </c>
      <c r="B66" s="72">
        <f>SUM(B63:B65)</f>
        <v>15272837</v>
      </c>
    </row>
    <row r="67" spans="1:6" ht="12.75">
      <c r="A67" s="50" t="s">
        <v>0</v>
      </c>
      <c r="B67" s="72">
        <f>SUM(B54+B60+B66)</f>
        <v>83364647.91</v>
      </c>
      <c r="F67" s="124"/>
    </row>
    <row r="68" spans="1:5" ht="12.75">
      <c r="A68" s="50" t="s">
        <v>65</v>
      </c>
      <c r="B68" s="74"/>
      <c r="E68" s="125"/>
    </row>
    <row r="69" spans="1:5" ht="12.75">
      <c r="A69" s="43" t="s">
        <v>66</v>
      </c>
      <c r="B69" s="71">
        <v>4285005697</v>
      </c>
      <c r="E69" s="125"/>
    </row>
    <row r="70" spans="1:5" ht="12.75">
      <c r="A70" s="43" t="s">
        <v>67</v>
      </c>
      <c r="B70" s="71">
        <v>318318385.21</v>
      </c>
      <c r="E70" s="125"/>
    </row>
    <row r="71" spans="1:5" ht="12.75">
      <c r="A71" s="43" t="s">
        <v>73</v>
      </c>
      <c r="B71" s="71">
        <v>23533290.6</v>
      </c>
      <c r="E71" s="125"/>
    </row>
    <row r="72" spans="1:5" ht="12.75">
      <c r="A72" s="43" t="s">
        <v>68</v>
      </c>
      <c r="B72" s="71">
        <v>10977610.85</v>
      </c>
      <c r="E72" s="125"/>
    </row>
    <row r="73" spans="1:5" ht="12.75">
      <c r="A73" s="43" t="s">
        <v>128</v>
      </c>
      <c r="B73" s="71">
        <v>14745982.71</v>
      </c>
      <c r="E73" s="125"/>
    </row>
    <row r="74" spans="1:5" ht="12.75">
      <c r="A74" s="38" t="s">
        <v>69</v>
      </c>
      <c r="B74" s="71">
        <v>241759588</v>
      </c>
      <c r="E74" s="125"/>
    </row>
    <row r="75" spans="1:2" ht="12.75">
      <c r="A75" s="38" t="s">
        <v>45</v>
      </c>
      <c r="B75" s="71">
        <v>483290719</v>
      </c>
    </row>
    <row r="76" spans="1:2" ht="12.75">
      <c r="A76" s="38" t="s">
        <v>70</v>
      </c>
      <c r="B76" s="73">
        <v>158122212.13</v>
      </c>
    </row>
    <row r="77" spans="1:2" ht="12.75">
      <c r="A77" s="36" t="s">
        <v>3</v>
      </c>
      <c r="B77" s="72">
        <f>SUM(B69:B76)</f>
        <v>5535753485.500001</v>
      </c>
    </row>
    <row r="78" spans="1:2" ht="13.5" thickBot="1">
      <c r="A78" s="50" t="s">
        <v>4</v>
      </c>
      <c r="B78" s="75">
        <f>SUM(B67+B77)</f>
        <v>5619118133.410001</v>
      </c>
    </row>
    <row r="79" ht="13.5" thickTop="1">
      <c r="B79" s="85">
        <f>SUM(B34)</f>
        <v>0</v>
      </c>
    </row>
    <row r="83" ht="14.25">
      <c r="A83" s="95" t="s">
        <v>7</v>
      </c>
    </row>
    <row r="84" spans="1:7" ht="12.75">
      <c r="A84" s="50"/>
      <c r="E84" s="127" t="s">
        <v>104</v>
      </c>
      <c r="F84" s="127" t="s">
        <v>108</v>
      </c>
      <c r="G84" s="127" t="s">
        <v>48</v>
      </c>
    </row>
    <row r="85" spans="1:16" ht="12.75">
      <c r="A85" s="43" t="s">
        <v>8</v>
      </c>
      <c r="B85" s="71">
        <v>7709314.77</v>
      </c>
      <c r="E85" s="22" t="s">
        <v>643</v>
      </c>
      <c r="F85" s="180">
        <f>+'Estado integral de resultados'!C10</f>
        <v>785773442</v>
      </c>
      <c r="G85" s="227">
        <f>SUM(F85/$F$89)</f>
        <v>0.7463335734279103</v>
      </c>
      <c r="P85" s="161"/>
    </row>
    <row r="86" spans="1:16" ht="12.75">
      <c r="A86" s="43" t="s">
        <v>74</v>
      </c>
      <c r="B86" s="73">
        <v>699431895</v>
      </c>
      <c r="E86" s="22" t="s">
        <v>8</v>
      </c>
      <c r="F86" s="180">
        <f>+'Estado integral de resultados'!C11</f>
        <v>151422935</v>
      </c>
      <c r="G86" s="227">
        <f>SUM(F86/$F$89)</f>
        <v>0.14382265184459134</v>
      </c>
      <c r="P86" s="161"/>
    </row>
    <row r="87" spans="1:16" ht="12.75">
      <c r="A87" s="43" t="s">
        <v>75</v>
      </c>
      <c r="B87" s="71">
        <v>9946040.38</v>
      </c>
      <c r="E87" s="22" t="s">
        <v>75</v>
      </c>
      <c r="F87" s="180">
        <f>+'Estado integral de resultados'!C12</f>
        <v>115291633</v>
      </c>
      <c r="G87" s="227">
        <f>SUM(F87/$F$89)</f>
        <v>0.10950486723529297</v>
      </c>
      <c r="P87" s="161"/>
    </row>
    <row r="88" spans="1:16" ht="12.75">
      <c r="A88" s="43" t="s">
        <v>76</v>
      </c>
      <c r="B88" s="71">
        <v>5894883.2</v>
      </c>
      <c r="E88" s="22" t="s">
        <v>76</v>
      </c>
      <c r="F88" s="180">
        <f>+'Estado integral de resultados'!C13</f>
        <v>356817</v>
      </c>
      <c r="G88" s="227">
        <f>SUM(F88/$F$89)</f>
        <v>0.0003389074922054017</v>
      </c>
      <c r="P88" s="161"/>
    </row>
    <row r="89" spans="2:16" ht="12.75">
      <c r="B89" s="6"/>
      <c r="E89" s="127" t="s">
        <v>9</v>
      </c>
      <c r="F89" s="229">
        <f>SUM(F85:F88)</f>
        <v>1052844827</v>
      </c>
      <c r="G89" s="230">
        <f>SUM(G85:G88)</f>
        <v>1</v>
      </c>
      <c r="P89" s="161"/>
    </row>
    <row r="90" spans="2:6" ht="12.75">
      <c r="B90" s="72">
        <f>SUM(B85:B89)</f>
        <v>722982133.35</v>
      </c>
      <c r="F90" s="346"/>
    </row>
    <row r="91" ht="13.5" thickBot="1"/>
    <row r="92" ht="14.25">
      <c r="A92" s="100" t="s">
        <v>77</v>
      </c>
    </row>
    <row r="93" spans="1:2" ht="12.75">
      <c r="A93" s="43" t="s">
        <v>10</v>
      </c>
      <c r="B93" s="71">
        <v>96153970</v>
      </c>
    </row>
    <row r="94" spans="1:2" ht="12.75">
      <c r="A94" s="43" t="s">
        <v>11</v>
      </c>
      <c r="B94" s="71">
        <f>325158441.71+120000-5300</f>
        <v>325273141.71</v>
      </c>
    </row>
    <row r="95" spans="1:2" ht="12.75">
      <c r="A95" s="43" t="s">
        <v>14</v>
      </c>
      <c r="B95" s="71">
        <f>9119301.56-120000+5300</f>
        <v>9004601.56</v>
      </c>
    </row>
    <row r="96" spans="1:2" ht="12.75">
      <c r="A96" s="43" t="s">
        <v>78</v>
      </c>
      <c r="B96" s="71">
        <v>4013000</v>
      </c>
    </row>
    <row r="97" spans="1:2" ht="12.75">
      <c r="A97" s="62" t="s">
        <v>79</v>
      </c>
      <c r="B97" s="71">
        <v>6373088.09</v>
      </c>
    </row>
    <row r="98" spans="1:2" ht="12.75">
      <c r="A98" s="62" t="s">
        <v>75</v>
      </c>
      <c r="B98" s="71">
        <v>1460212.63</v>
      </c>
    </row>
    <row r="99" spans="1:2" ht="12.75">
      <c r="A99" s="43" t="s">
        <v>80</v>
      </c>
      <c r="B99" s="71">
        <v>1320541</v>
      </c>
    </row>
    <row r="100" spans="2:7" ht="12.75">
      <c r="B100" s="9"/>
      <c r="E100" s="127" t="s">
        <v>104</v>
      </c>
      <c r="F100" s="127" t="s">
        <v>100</v>
      </c>
      <c r="G100" s="127" t="s">
        <v>48</v>
      </c>
    </row>
    <row r="101" spans="2:16" ht="12.75">
      <c r="B101" s="72">
        <f>SUM(B93:B99)</f>
        <v>443598554.98999995</v>
      </c>
      <c r="E101" s="22" t="s">
        <v>211</v>
      </c>
      <c r="F101" s="180">
        <f>+'BCE DIC 2022'!F265</f>
        <v>203218330</v>
      </c>
      <c r="G101" s="227">
        <f>SUM(F101/$F$108)</f>
        <v>0.23771009219977687</v>
      </c>
      <c r="P101" s="161"/>
    </row>
    <row r="102" spans="5:16" ht="12.75">
      <c r="E102" s="22" t="s">
        <v>170</v>
      </c>
      <c r="F102" s="180">
        <f>+'BCE DIC 2022'!F292</f>
        <v>517201337.57</v>
      </c>
      <c r="G102" s="227">
        <f aca="true" t="shared" si="1" ref="G102:G107">SUM(F102/$F$108)</f>
        <v>0.604984686369643</v>
      </c>
      <c r="P102" s="161"/>
    </row>
    <row r="103" spans="5:16" ht="12" customHeight="1">
      <c r="E103" s="22" t="s">
        <v>14</v>
      </c>
      <c r="F103" s="180">
        <f>+'BCE DIC 2022'!F371</f>
        <v>12070119.68</v>
      </c>
      <c r="G103" s="227">
        <f t="shared" si="1"/>
        <v>0.014118752289693262</v>
      </c>
      <c r="P103" s="161"/>
    </row>
    <row r="104" spans="5:16" ht="12.75" customHeight="1" hidden="1">
      <c r="E104" s="22" t="s">
        <v>101</v>
      </c>
      <c r="F104" s="180">
        <v>0</v>
      </c>
      <c r="G104" s="227">
        <f t="shared" si="1"/>
        <v>0</v>
      </c>
      <c r="P104" s="161"/>
    </row>
    <row r="105" spans="5:16" ht="12.75">
      <c r="E105" s="22" t="s">
        <v>79</v>
      </c>
      <c r="F105" s="180">
        <f>+'BCE DIC 2022'!F362</f>
        <v>96457594.15</v>
      </c>
      <c r="G105" s="227">
        <f t="shared" si="1"/>
        <v>0.11282911142299594</v>
      </c>
      <c r="P105" s="161"/>
    </row>
    <row r="106" spans="5:16" ht="12.75">
      <c r="E106" s="22" t="s">
        <v>75</v>
      </c>
      <c r="F106" s="180">
        <f>+'BCE DIC 2022'!F379</f>
        <v>25838633.56</v>
      </c>
      <c r="G106" s="227">
        <f t="shared" si="1"/>
        <v>0.030224163173980655</v>
      </c>
      <c r="P106" s="161"/>
    </row>
    <row r="107" spans="5:16" ht="12.75">
      <c r="E107" s="22" t="s">
        <v>132</v>
      </c>
      <c r="F107" s="180">
        <f>+'BCE DIC 2022'!F386</f>
        <v>113868</v>
      </c>
      <c r="G107" s="227">
        <f t="shared" si="1"/>
        <v>0.0001331945439105035</v>
      </c>
      <c r="P107" s="161"/>
    </row>
    <row r="108" spans="5:7" ht="12.75">
      <c r="E108" s="127" t="s">
        <v>102</v>
      </c>
      <c r="F108" s="229">
        <f>SUM(F101:F107)</f>
        <v>854899882.9599998</v>
      </c>
      <c r="G108" s="230">
        <f>SUM(G101:G107)</f>
        <v>1.0000000000000002</v>
      </c>
    </row>
    <row r="109" ht="12.75">
      <c r="F109" s="380"/>
    </row>
    <row r="110" spans="2:6" ht="12.75">
      <c r="B110" s="71">
        <v>135950114.5</v>
      </c>
      <c r="F110" s="380"/>
    </row>
    <row r="111" ht="12.75">
      <c r="B111" s="71">
        <v>379622657.84</v>
      </c>
    </row>
    <row r="112" ht="12.75">
      <c r="B112" s="71">
        <v>9745016.1</v>
      </c>
    </row>
    <row r="113" ht="12.75">
      <c r="B113" s="71">
        <v>1412000</v>
      </c>
    </row>
    <row r="114" ht="12.75">
      <c r="B114" s="71">
        <v>35430519.54</v>
      </c>
    </row>
    <row r="115" ht="12.75">
      <c r="B115" s="71">
        <v>2504613.24</v>
      </c>
    </row>
    <row r="116" ht="12.75">
      <c r="B116" s="71">
        <v>195000</v>
      </c>
    </row>
    <row r="126" spans="5:16" ht="12.75">
      <c r="E126" s="127" t="s">
        <v>104</v>
      </c>
      <c r="F126" s="127" t="s">
        <v>103</v>
      </c>
      <c r="G126" s="127" t="s">
        <v>48</v>
      </c>
      <c r="P126" s="172" t="s">
        <v>0</v>
      </c>
    </row>
    <row r="127" spans="2:16" ht="12.75">
      <c r="B127" s="116">
        <v>25848532</v>
      </c>
      <c r="E127" s="22" t="s">
        <v>830</v>
      </c>
      <c r="F127" s="180">
        <f>+'BCE DIC 2022'!F356</f>
        <v>256104130</v>
      </c>
      <c r="G127" s="227">
        <f aca="true" t="shared" si="2" ref="G127:G132">F127/$F$133</f>
        <v>0.6665728273580509</v>
      </c>
      <c r="P127" s="161"/>
    </row>
    <row r="128" spans="2:16" ht="12.75">
      <c r="B128" s="116">
        <v>12707000</v>
      </c>
      <c r="E128" s="22" t="s">
        <v>86</v>
      </c>
      <c r="F128" s="180">
        <f>+'BCE DIC 2022'!F293</f>
        <v>67667072</v>
      </c>
      <c r="G128" s="227">
        <f t="shared" si="2"/>
        <v>0.1761198911633358</v>
      </c>
      <c r="P128" s="161"/>
    </row>
    <row r="129" spans="2:16" ht="12.75">
      <c r="B129" s="116">
        <v>23054824</v>
      </c>
      <c r="E129" s="22" t="s">
        <v>212</v>
      </c>
      <c r="F129" s="180">
        <f>+'BCE DIC 2022'!F331</f>
        <v>16049626</v>
      </c>
      <c r="G129" s="227">
        <f t="shared" si="2"/>
        <v>0.041773026389146026</v>
      </c>
      <c r="P129" s="161"/>
    </row>
    <row r="130" spans="2:16" ht="12.75">
      <c r="B130" s="116"/>
      <c r="E130" s="22" t="s">
        <v>131</v>
      </c>
      <c r="F130" s="180">
        <f>+'BCE DIC 2022'!F299</f>
        <v>24271801</v>
      </c>
      <c r="G130" s="227">
        <f t="shared" si="2"/>
        <v>0.06317322183614128</v>
      </c>
      <c r="P130" s="161"/>
    </row>
    <row r="131" spans="2:16" ht="12.75">
      <c r="B131" s="116">
        <v>18070248</v>
      </c>
      <c r="E131" s="22" t="s">
        <v>644</v>
      </c>
      <c r="F131" s="180">
        <f>+'BCE DIC 2022'!F314</f>
        <v>20117647.04</v>
      </c>
      <c r="G131" s="227">
        <f t="shared" si="2"/>
        <v>0.05236103325332599</v>
      </c>
      <c r="P131" s="161"/>
    </row>
    <row r="132" spans="2:16" ht="12.75">
      <c r="B132" s="116">
        <v>219050588.3</v>
      </c>
      <c r="E132" s="22" t="s">
        <v>213</v>
      </c>
      <c r="F132" s="180">
        <f>+'BCE DIC 2022'!I348</f>
        <v>0</v>
      </c>
      <c r="G132" s="227">
        <f t="shared" si="2"/>
        <v>0</v>
      </c>
      <c r="P132" s="161"/>
    </row>
    <row r="133" spans="5:7" ht="12.75">
      <c r="E133" s="127" t="s">
        <v>109</v>
      </c>
      <c r="F133" s="229">
        <f>SUM(F127:F132)</f>
        <v>384210276.04</v>
      </c>
      <c r="G133" s="230">
        <f>SUM(G127:G132)</f>
        <v>1</v>
      </c>
    </row>
    <row r="135" ht="12.75">
      <c r="F135" s="16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 DEL ORIENTE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Edgar</cp:lastModifiedBy>
  <cp:lastPrinted>2023-02-03T19:16:50Z</cp:lastPrinted>
  <dcterms:created xsi:type="dcterms:W3CDTF">2005-02-11T14:34:04Z</dcterms:created>
  <dcterms:modified xsi:type="dcterms:W3CDTF">2023-02-06T17:27:57Z</dcterms:modified>
  <cp:category/>
  <cp:version/>
  <cp:contentType/>
  <cp:contentStatus/>
</cp:coreProperties>
</file>